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10500" firstSheet="1" activeTab="1"/>
  </bookViews>
  <sheets>
    <sheet name="PL2" sheetId="1" state="hidden" r:id="rId1"/>
    <sheet name="KE HOAC TCC 2016-2020" sheetId="2" r:id="rId2"/>
    <sheet name="Sheet4" sheetId="3" r:id="rId3"/>
    <sheet name="SO LIEU CHÍNH THỨC" sheetId="4" r:id="rId4"/>
    <sheet name="BieunayKhongin" sheetId="5" state="hidden" r:id="rId5"/>
    <sheet name="Khongin" sheetId="6" state="hidden" r:id="rId6"/>
    <sheet name="PL17CCTT(khongin)" sheetId="7" state="hidden" r:id="rId7"/>
    <sheet name="Sheet3" sheetId="8" state="hidden" r:id="rId8"/>
    <sheet name="Pl14" sheetId="9" state="hidden" r:id="rId9"/>
    <sheet name="Sheet1" sheetId="10" state="hidden" r:id="rId10"/>
    <sheet name="Sheet2" sheetId="11" state="hidden" r:id="rId11"/>
  </sheets>
  <externalReferences>
    <externalReference r:id="rId14"/>
    <externalReference r:id="rId15"/>
    <externalReference r:id="rId16"/>
    <externalReference r:id="rId17"/>
  </externalReferences>
  <definedNames>
    <definedName name="_Fill" localSheetId="4" hidden="1">#REF!</definedName>
    <definedName name="_Fill" localSheetId="5" hidden="1">#REF!</definedName>
    <definedName name="_Fill" hidden="1">#REF!</definedName>
    <definedName name="_Key1" localSheetId="4" hidden="1">#REF!</definedName>
    <definedName name="_Key1" localSheetId="5" hidden="1">#REF!</definedName>
    <definedName name="_Key1" hidden="1">#REF!</definedName>
    <definedName name="_Key2" localSheetId="4" hidden="1">#REF!</definedName>
    <definedName name="_Key2" localSheetId="5" hidden="1">#REF!</definedName>
    <definedName name="_Key2" hidden="1">#REF!</definedName>
    <definedName name="_Order1" hidden="1">255</definedName>
    <definedName name="_Order2" hidden="1">255</definedName>
    <definedName name="_Sort" localSheetId="4" hidden="1">#REF!</definedName>
    <definedName name="_Sort" localSheetId="5" hidden="1">#REF!</definedName>
    <definedName name="_Sort" hidden="1">#REF!</definedName>
    <definedName name="CLVC3">0.1</definedName>
    <definedName name="DataFilter" localSheetId="4">[1]!DataFilter</definedName>
    <definedName name="DataFilter" localSheetId="5">[1]!DataFilter</definedName>
    <definedName name="DataFilter">[1]!DataFilter</definedName>
    <definedName name="DataSort" localSheetId="4">[1]!DataSort</definedName>
    <definedName name="DataSort" localSheetId="5">[1]!DataSort</definedName>
    <definedName name="DataSort">[1]!DataSort</definedName>
    <definedName name="GoBack" localSheetId="4">[1]!GoBack</definedName>
    <definedName name="GoBack" localSheetId="5">[1]!GoBack</definedName>
    <definedName name="GoBack">[1]!GoBack</definedName>
    <definedName name="h" localSheetId="4" hidden="1">{"'Sheet1'!$L$16"}</definedName>
    <definedName name="h" localSheetId="5" hidden="1">{"'Sheet1'!$L$16"}</definedName>
    <definedName name="h" hidden="1">{"'Sheet1'!$L$16"}</definedName>
    <definedName name="Heä_soá_laép_xaø_H">1.7</definedName>
    <definedName name="HSCT3">0.1</definedName>
    <definedName name="HSDN">2.5</definedName>
    <definedName name="HTML_CodePage" hidden="1">950</definedName>
    <definedName name="HTML_Control" localSheetId="4" hidden="1">{"'Sheet1'!$L$16"}</definedName>
    <definedName name="HTML_Control" localSheetId="5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4" hidden="1">{"'Sheet1'!$L$16"}</definedName>
    <definedName name="huy" localSheetId="5" hidden="1">{"'Sheet1'!$L$16"}</definedName>
    <definedName name="huy" hidden="1">{"'Sheet1'!$L$16"}</definedName>
    <definedName name="_xlnm.Print_Area" localSheetId="4">'BieunayKhongin'!$A$1:$O$52</definedName>
    <definedName name="_xlnm.Print_Area" localSheetId="5">'Khongin'!$A$1:$I$61</definedName>
    <definedName name="_xlnm.Print_Area" localSheetId="6">'PL17CCTT(khongin)'!$A$1:$V$39</definedName>
    <definedName name="_xlnm.Print_Titles" localSheetId="4">'BieunayKhongin'!$5:$5</definedName>
    <definedName name="_xlnm.Print_Titles" localSheetId="1">'KE HOAC TCC 2016-2020'!$3:$3</definedName>
    <definedName name="_xlnm.Print_Titles" localSheetId="5">'Khongin'!$5:$5</definedName>
    <definedName name="_xlnm.Print_Titles" localSheetId="8">'Pl14'!$4:$5</definedName>
    <definedName name="_xlnm.Print_Titles" localSheetId="6">'PL17CCTT(khongin)'!$5:$5</definedName>
    <definedName name="_xlnm.Print_Titles" localSheetId="0">'PL2'!$4:$5</definedName>
    <definedName name="_xlnm.Print_Titles" localSheetId="3">'SO LIEU CHÍNH THỨC'!$4:$4</definedName>
    <definedName name="TaxTV">10%</definedName>
    <definedName name="TaxXL">5%</definedName>
    <definedName name="wrn.chi._.tiÆt." localSheetId="5" hidden="1">{#N/A,#N/A,FALSE,"Chi ti?t"}</definedName>
    <definedName name="wrn.chi._.tiÆt." hidden="1">{#N/A,#N/A,FALSE,"Chi ti?t"}</definedName>
    <definedName name="XCCT">0.5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D11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bang ke hoach ban dau la 9,5-10,2 nhung trong van kien la tu 10-10,2% o trang 26</t>
        </r>
      </text>
    </comment>
    <comment ref="F18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Số cũ là 41,5</t>
        </r>
      </text>
    </comment>
    <comment ref="H29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số cũ là 71,7 còn số &gt;71,5 là số mới nhất của BỘ Y tế ngày 19/9</t>
        </r>
      </text>
    </comment>
    <comment ref="D31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theo ke hoach 5 năm của Quốc hội là 14,7 nhưng trong văn kiện đại hội đảng là tốc độ tăng trung học chuyên nghiệp là 15%</t>
        </r>
      </text>
    </comment>
    <comment ref="H32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số cũ là 15,5 còn số 16 là số mới nhất của Bộ Y tế
</t>
        </r>
      </text>
    </comment>
    <comment ref="H34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số cũ là 75
số mới là 80 theo của Bộ Y Tế</t>
        </r>
      </text>
    </comment>
    <comment ref="H35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số cũ là 6,3
Số mới là 6,03 của Bộ Y Tế</t>
        </r>
      </text>
    </comment>
    <comment ref="F40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theo van ban chinh thuc cua Bo Nong nghiep phat trien nong thon</t>
        </r>
      </text>
    </comment>
  </commentList>
</comments>
</file>

<file path=xl/comments2.xml><?xml version="1.0" encoding="utf-8"?>
<comments xmlns="http://schemas.openxmlformats.org/spreadsheetml/2006/main">
  <authors>
    <author>Smart</author>
  </authors>
  <commentList>
    <comment ref="I55" authorId="0">
      <text>
        <r>
          <rPr>
            <b/>
            <sz val="8"/>
            <rFont val="Tahoma"/>
            <family val="0"/>
          </rPr>
          <t>Smart:</t>
        </r>
        <r>
          <rPr>
            <sz val="8"/>
            <rFont val="Tahoma"/>
            <family val="0"/>
          </rPr>
          <t xml:space="preserve">
</t>
        </r>
      </text>
    </comment>
    <comment ref="I58" authorId="0">
      <text>
        <r>
          <rPr>
            <b/>
            <sz val="8"/>
            <rFont val="Tahoma"/>
            <family val="0"/>
          </rPr>
          <t>Smart:</t>
        </r>
        <r>
          <rPr>
            <sz val="8"/>
            <rFont val="Tahoma"/>
            <family val="0"/>
          </rPr>
          <t xml:space="preserve">
</t>
        </r>
        <r>
          <rPr>
            <sz val="14"/>
            <rFont val="Tahoma"/>
            <family val="2"/>
          </rPr>
          <t>27.362 BC TK SX NN</t>
        </r>
      </text>
    </comment>
    <comment ref="H64" authorId="0">
      <text>
        <r>
          <rPr>
            <b/>
            <sz val="8"/>
            <rFont val="Tahoma"/>
            <family val="0"/>
          </rPr>
          <t>Smart:</t>
        </r>
        <r>
          <rPr>
            <sz val="8"/>
            <rFont val="Tahoma"/>
            <family val="0"/>
          </rPr>
          <t xml:space="preserve">
</t>
        </r>
        <r>
          <rPr>
            <sz val="11"/>
            <rFont val="Tahoma"/>
            <family val="2"/>
          </rPr>
          <t>BC UBND 10 tháng: 6,859 ha</t>
        </r>
      </text>
    </comment>
    <comment ref="H90" authorId="0">
      <text>
        <r>
          <rPr>
            <b/>
            <sz val="8"/>
            <rFont val="Tahoma"/>
            <family val="0"/>
          </rPr>
          <t>Smart:</t>
        </r>
        <r>
          <rPr>
            <sz val="8"/>
            <rFont val="Tahoma"/>
            <family val="0"/>
          </rPr>
          <t xml:space="preserve">
</t>
        </r>
        <r>
          <rPr>
            <sz val="11"/>
            <rFont val="Tahoma"/>
            <family val="2"/>
          </rPr>
          <t>1,284 ha (BC UB)</t>
        </r>
      </text>
    </comment>
    <comment ref="H94" authorId="0">
      <text>
        <r>
          <rPr>
            <b/>
            <sz val="8"/>
            <rFont val="Tahoma"/>
            <family val="0"/>
          </rPr>
          <t>S</t>
        </r>
        <r>
          <rPr>
            <b/>
            <sz val="11"/>
            <rFont val="Tahoma"/>
            <family val="2"/>
          </rPr>
          <t>mart:</t>
        </r>
        <r>
          <rPr>
            <sz val="11"/>
            <rFont val="Tahoma"/>
            <family val="2"/>
          </rPr>
          <t xml:space="preserve">
BC 10 tháng của UBND 3,186 nghìn cây</t>
        </r>
      </text>
    </comment>
    <comment ref="B109" authorId="0">
      <text>
        <r>
          <rPr>
            <b/>
            <sz val="8"/>
            <rFont val="Tahoma"/>
            <family val="0"/>
          </rPr>
          <t xml:space="preserve">Smart:
</t>
        </r>
        <r>
          <rPr>
            <b/>
            <sz val="11"/>
            <rFont val="Tahoma"/>
            <family val="2"/>
          </rPr>
          <t>Chỉ tính công suất các hồ chứa không tính các hồ thủy điện</t>
        </r>
      </text>
    </comment>
    <comment ref="O112" authorId="0">
      <text>
        <r>
          <rPr>
            <b/>
            <sz val="8"/>
            <rFont val="Tahoma"/>
            <family val="0"/>
          </rPr>
          <t>Smart:</t>
        </r>
        <r>
          <rPr>
            <sz val="8"/>
            <rFont val="Tahoma"/>
            <family val="0"/>
          </rPr>
          <t xml:space="preserve">
QĐ 58 chính phú đã phê duyệt về chương trình nâng cấp đê biển (2006)</t>
        </r>
      </text>
    </comment>
    <comment ref="K127" authorId="0">
      <text>
        <r>
          <rPr>
            <b/>
            <sz val="8"/>
            <rFont val="Tahoma"/>
            <family val="0"/>
          </rPr>
          <t>Smart:</t>
        </r>
        <r>
          <rPr>
            <sz val="8"/>
            <rFont val="Tahoma"/>
            <family val="0"/>
          </rPr>
          <t xml:space="preserve">
Phong Điền (trên cát) 81 ha, Phú Xuân 105 ha (đề xuất trong Nghị định 67) cho 2 năm 2015-2016
</t>
        </r>
      </text>
    </comment>
    <comment ref="B136" authorId="0">
      <text>
        <r>
          <rPr>
            <b/>
            <sz val="8"/>
            <rFont val="Tahoma"/>
            <family val="0"/>
          </rPr>
          <t>Smart:</t>
        </r>
        <r>
          <rPr>
            <sz val="8"/>
            <rFont val="Tahoma"/>
            <family val="0"/>
          </rPr>
          <t xml:space="preserve">
</t>
        </r>
        <r>
          <rPr>
            <sz val="12"/>
            <rFont val="Tahoma"/>
            <family val="2"/>
          </rPr>
          <t>Tổng số xã thực hiện NTM 92 xã, KH 2020 đạt 50 xã</t>
        </r>
      </text>
    </comment>
    <comment ref="I136" authorId="0">
      <text>
        <r>
          <rPr>
            <b/>
            <sz val="8"/>
            <rFont val="Tahoma"/>
            <family val="0"/>
          </rPr>
          <t>Smart:</t>
        </r>
        <r>
          <rPr>
            <sz val="8"/>
            <rFont val="Tahoma"/>
            <family val="0"/>
          </rPr>
          <t xml:space="preserve">
Thuc hiện 19 xã</t>
        </r>
      </text>
    </comment>
    <comment ref="R3" authorId="0">
      <text>
        <r>
          <rPr>
            <b/>
            <sz val="8"/>
            <rFont val="Tahoma"/>
            <family val="0"/>
          </rPr>
          <t>Smart:</t>
        </r>
        <r>
          <rPr>
            <sz val="8"/>
            <rFont val="Tahoma"/>
            <family val="0"/>
          </rPr>
          <t xml:space="preserve">
</t>
        </r>
      </text>
    </comment>
    <comment ref="K29" authorId="0">
      <text>
        <r>
          <rPr>
            <b/>
            <sz val="8"/>
            <rFont val="Tahoma"/>
            <family val="0"/>
          </rPr>
          <t>dự ước</t>
        </r>
        <r>
          <rPr>
            <sz val="8"/>
            <rFont val="Tahoma"/>
            <family val="0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0"/>
          </rPr>
          <t>dự ước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Smart</author>
  </authors>
  <commentList>
    <comment ref="I80" authorId="0">
      <text>
        <r>
          <rPr>
            <b/>
            <sz val="8"/>
            <rFont val="Tahoma"/>
            <family val="0"/>
          </rPr>
          <t>Smart:</t>
        </r>
        <r>
          <rPr>
            <sz val="8"/>
            <rFont val="Tahoma"/>
            <family val="0"/>
          </rPr>
          <t xml:space="preserve">
</t>
        </r>
        <r>
          <rPr>
            <sz val="11"/>
            <rFont val="Tahoma"/>
            <family val="2"/>
          </rPr>
          <t>BC UBND 10 tháng: 6,859 ha</t>
        </r>
      </text>
    </comment>
    <comment ref="I106" authorId="0">
      <text>
        <r>
          <rPr>
            <b/>
            <sz val="8"/>
            <rFont val="Tahoma"/>
            <family val="0"/>
          </rPr>
          <t>Smart:</t>
        </r>
        <r>
          <rPr>
            <sz val="8"/>
            <rFont val="Tahoma"/>
            <family val="0"/>
          </rPr>
          <t xml:space="preserve">
</t>
        </r>
        <r>
          <rPr>
            <sz val="11"/>
            <rFont val="Tahoma"/>
            <family val="2"/>
          </rPr>
          <t>1,284 ha (BC UB)</t>
        </r>
      </text>
    </comment>
    <comment ref="I110" authorId="0">
      <text>
        <r>
          <rPr>
            <b/>
            <sz val="8"/>
            <rFont val="Tahoma"/>
            <family val="0"/>
          </rPr>
          <t>S</t>
        </r>
        <r>
          <rPr>
            <b/>
            <sz val="11"/>
            <rFont val="Tahoma"/>
            <family val="2"/>
          </rPr>
          <t>mart:</t>
        </r>
        <r>
          <rPr>
            <sz val="11"/>
            <rFont val="Tahoma"/>
            <family val="2"/>
          </rPr>
          <t xml:space="preserve">
BC 10 tháng của UBND 3,186 nghìn cây</t>
        </r>
      </text>
    </comment>
    <comment ref="B130" authorId="0">
      <text>
        <r>
          <rPr>
            <b/>
            <sz val="8"/>
            <rFont val="Tahoma"/>
            <family val="0"/>
          </rPr>
          <t xml:space="preserve">Smart:
</t>
        </r>
        <r>
          <rPr>
            <b/>
            <sz val="11"/>
            <rFont val="Tahoma"/>
            <family val="2"/>
          </rPr>
          <t>Chỉ tính công suất các hồ chứa không tính các hồ thủy điện</t>
        </r>
      </text>
    </comment>
    <comment ref="P133" authorId="0">
      <text>
        <r>
          <rPr>
            <b/>
            <sz val="8"/>
            <rFont val="Tahoma"/>
            <family val="0"/>
          </rPr>
          <t>Smart:</t>
        </r>
        <r>
          <rPr>
            <sz val="8"/>
            <rFont val="Tahoma"/>
            <family val="0"/>
          </rPr>
          <t xml:space="preserve">
QĐ 58 chính phú đã phê duyệt về chương trình nâng cấp đê biển (2006)</t>
        </r>
      </text>
    </comment>
    <comment ref="B157" authorId="0">
      <text>
        <r>
          <rPr>
            <b/>
            <sz val="8"/>
            <rFont val="Tahoma"/>
            <family val="0"/>
          </rPr>
          <t>Smart:</t>
        </r>
        <r>
          <rPr>
            <sz val="8"/>
            <rFont val="Tahoma"/>
            <family val="0"/>
          </rPr>
          <t xml:space="preserve">
</t>
        </r>
        <r>
          <rPr>
            <sz val="12"/>
            <rFont val="Tahoma"/>
            <family val="2"/>
          </rPr>
          <t>Tổng số xã thực hiện NTM 92 xã, KH 2020 đạt 50 xã</t>
        </r>
      </text>
    </comment>
    <comment ref="J157" authorId="0">
      <text>
        <r>
          <rPr>
            <b/>
            <sz val="8"/>
            <rFont val="Tahoma"/>
            <family val="0"/>
          </rPr>
          <t>Smart:</t>
        </r>
        <r>
          <rPr>
            <sz val="8"/>
            <rFont val="Tahoma"/>
            <family val="0"/>
          </rPr>
          <t xml:space="preserve">
Thuc hiện 19 xã</t>
        </r>
      </text>
    </comment>
    <comment ref="S85" authorId="0">
      <text>
        <r>
          <rPr>
            <b/>
            <sz val="8"/>
            <rFont val="Tahoma"/>
            <family val="0"/>
          </rPr>
          <t>Smart:</t>
        </r>
        <r>
          <rPr>
            <sz val="8"/>
            <rFont val="Tahoma"/>
            <family val="0"/>
          </rPr>
          <t xml:space="preserve">
Thủy sản</t>
        </r>
      </text>
    </comment>
    <comment ref="L148" authorId="0">
      <text>
        <r>
          <rPr>
            <b/>
            <sz val="8"/>
            <rFont val="Tahoma"/>
            <family val="0"/>
          </rPr>
          <t>Smart:</t>
        </r>
        <r>
          <rPr>
            <sz val="8"/>
            <rFont val="Tahoma"/>
            <family val="0"/>
          </rPr>
          <t xml:space="preserve">
Phong Điền (trên cát) 81 ha, Phú Xuân 105 ha (đề xuất trong Nghị định 67) cho 2 năm 2015-2016
</t>
        </r>
      </text>
    </comment>
    <comment ref="J72" authorId="0">
      <text>
        <r>
          <rPr>
            <b/>
            <sz val="8"/>
            <rFont val="Tahoma"/>
            <family val="0"/>
          </rPr>
          <t>Smart:</t>
        </r>
        <r>
          <rPr>
            <sz val="8"/>
            <rFont val="Tahoma"/>
            <family val="0"/>
          </rPr>
          <t xml:space="preserve">
</t>
        </r>
      </text>
    </comment>
    <comment ref="J74" authorId="0">
      <text>
        <r>
          <rPr>
            <b/>
            <sz val="8"/>
            <rFont val="Tahoma"/>
            <family val="0"/>
          </rPr>
          <t>Smart:</t>
        </r>
        <r>
          <rPr>
            <sz val="8"/>
            <rFont val="Tahoma"/>
            <family val="0"/>
          </rPr>
          <t xml:space="preserve">
</t>
        </r>
        <r>
          <rPr>
            <sz val="14"/>
            <rFont val="Tahoma"/>
            <family val="2"/>
          </rPr>
          <t>27.362 BC TK SX NN</t>
        </r>
      </text>
    </comment>
  </commentList>
</comments>
</file>

<file path=xl/comments7.xml><?xml version="1.0" encoding="utf-8"?>
<comments xmlns="http://schemas.openxmlformats.org/spreadsheetml/2006/main">
  <authors>
    <author>10-Chu Van An </author>
  </authors>
  <commentList>
    <comment ref="J61" authorId="0">
      <text>
        <r>
          <rPr>
            <b/>
            <sz val="10"/>
            <rFont val="Tahoma"/>
            <family val="2"/>
          </rPr>
          <t>10-Chu Van An :</t>
        </r>
        <r>
          <rPr>
            <sz val="10"/>
            <rFont val="Tahoma"/>
            <family val="2"/>
          </rPr>
          <t xml:space="preserve">
NHNN dự kien vay tra no trung han 0,8-2 tỷ USD; vay nợ ngắn hạn ròng: 0,2-0,8 tỷ USD; FII: 0,2-1,2 tỷ USD; Tiền và tiền gửi, tài sản có khác thâm hụt 1,5-3,6 tỷ USD
</t>
        </r>
      </text>
    </comment>
    <comment ref="J27" authorId="0">
      <text>
        <r>
          <rPr>
            <b/>
            <sz val="10"/>
            <rFont val="Tahoma"/>
            <family val="2"/>
          </rPr>
          <t>10-Chu Van An :</t>
        </r>
        <r>
          <rPr>
            <sz val="10"/>
            <rFont val="Tahoma"/>
            <family val="2"/>
          </rPr>
          <t xml:space="preserve">
NHNN dự kien vay tra no trung han 0,8-2 tỷ USD; vay nợ ngắn hạn ròng: 0,2-0,8 tỷ USD; FII: 0,2-1,2 tỷ USD; Tiền và tiền gửi, tài sản có khác thâm hụt 1,5-3,6 tỷ USD
</t>
        </r>
      </text>
    </comment>
  </commentList>
</comments>
</file>

<file path=xl/comments9.xml><?xml version="1.0" encoding="utf-8"?>
<comments xmlns="http://schemas.openxmlformats.org/spreadsheetml/2006/main">
  <authors>
    <author>User</author>
  </authors>
  <commentList>
    <comment ref="H7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Đã sửa theo đánh giá lại của thống kê
Số trước khi sửa là 1569,845</t>
        </r>
      </text>
    </comment>
    <comment ref="H8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uớc tại kỳ họp 4 khóa 12 là 18
</t>
        </r>
      </text>
    </comment>
    <comment ref="H22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ước tại kỳ họp 4 khóa 12 là 1366,693</t>
        </r>
      </text>
    </comment>
    <comment ref="H23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ước là 28
</t>
        </r>
      </text>
    </comment>
  </commentList>
</comments>
</file>

<file path=xl/sharedStrings.xml><?xml version="1.0" encoding="utf-8"?>
<sst xmlns="http://schemas.openxmlformats.org/spreadsheetml/2006/main" count="1346" uniqueCount="533">
  <si>
    <t>TH 2010</t>
  </si>
  <si>
    <t>Hộ</t>
  </si>
  <si>
    <t xml:space="preserve">Giá trị sản xuất nông, lâm, ngư nghiệp (giá so sánh 2010) </t>
  </si>
  <si>
    <t xml:space="preserve">   - Nông  nghiệp</t>
  </si>
  <si>
    <t xml:space="preserve">   - Lâm nghiệp</t>
  </si>
  <si>
    <t xml:space="preserve">   - Ngư nghiệp</t>
  </si>
  <si>
    <t xml:space="preserve">   - Dịch vụ nông, lâm, ngư nghiệp</t>
  </si>
  <si>
    <t>Tổng diện tích gieo trồng cây hàng năm</t>
  </si>
  <si>
    <t>Cây lương thực có hạt</t>
  </si>
  <si>
    <t>Cây chất bột có củ</t>
  </si>
  <si>
    <t>Cây công nghiệp ngắn ngày</t>
  </si>
  <si>
    <t>Cây thực phẩm</t>
  </si>
  <si>
    <t>Cây hằng năm khác</t>
  </si>
  <si>
    <t>Sản lượng lương thực có hạt/người</t>
  </si>
  <si>
    <t>Kg</t>
  </si>
  <si>
    <t>Diện tích và sản lượng một số cây chủ yếu:</t>
  </si>
  <si>
    <t>Cây Lúa:  Diện tích</t>
  </si>
  <si>
    <t xml:space="preserve">       Sản lượng</t>
  </si>
  <si>
    <t>Cây Ngô:  Diện tích</t>
  </si>
  <si>
    <t>Cây Sắn:  Diện tích</t>
  </si>
  <si>
    <t xml:space="preserve"> Sản lượng</t>
  </si>
  <si>
    <t>Cây Lạc:  Diện tích</t>
  </si>
  <si>
    <t xml:space="preserve">         Sản lượng</t>
  </si>
  <si>
    <t>Cà phê:    Diện tích</t>
  </si>
  <si>
    <t>Cao su:    Diện tích</t>
  </si>
  <si>
    <t xml:space="preserve">    Sản lượng</t>
  </si>
  <si>
    <t>Giá trị thu hoạch/ha diện tích canh tác đất nông nghiệp</t>
  </si>
  <si>
    <t>Giá trị thu hoạch/ha canh tác đất trồng cây hàng năm</t>
  </si>
  <si>
    <t>Giá trị thu hoạch/ha canh tác đất trồng cây lúa</t>
  </si>
  <si>
    <t>Giá trị thu hoạch/ha canh tác đất trồng cây sắn</t>
  </si>
  <si>
    <t>Giá trị thu hoạch/ha canh tác đất trồng cây cao su</t>
  </si>
  <si>
    <t>Con</t>
  </si>
  <si>
    <t>Tỷ lệ chăn nuôi gia súc theo quy mô công nghiệp</t>
  </si>
  <si>
    <t>Tỷ lệ chăn nuôi gia cầm theo quy mô  trang trại, công nghiệp</t>
  </si>
  <si>
    <t>Tỷ lệ gia súc được tiêm phòng</t>
  </si>
  <si>
    <t>Tỷ lệ gia cầm được tiêm phòng</t>
  </si>
  <si>
    <t>Diện tích nuôi trồng thuỷ hải sản</t>
  </si>
  <si>
    <t>Trong đó: - Nuôi lợ mặn</t>
  </si>
  <si>
    <t xml:space="preserve">               - Nuôi nước ngọt</t>
  </si>
  <si>
    <t xml:space="preserve">               - Nuôi lồng</t>
  </si>
  <si>
    <t>Sản lượng thuỷ hải sản</t>
  </si>
  <si>
    <t xml:space="preserve">       Sản lượng Đánh bắt</t>
  </si>
  <si>
    <t xml:space="preserve">   - Đánh bắt biển</t>
  </si>
  <si>
    <t xml:space="preserve">   - Sông đầm</t>
  </si>
  <si>
    <t xml:space="preserve">      Sản lượng nuôi trồng</t>
  </si>
  <si>
    <t xml:space="preserve">   - Sản lượng tôm</t>
  </si>
  <si>
    <t>Sản xuất giống thủy sản</t>
  </si>
  <si>
    <t>Tôm giống</t>
  </si>
  <si>
    <t>- Tôm sú</t>
  </si>
  <si>
    <t>Cá giống</t>
  </si>
  <si>
    <t>Sản lượng thuỷ sản chế biến</t>
  </si>
  <si>
    <t>Giá trị kim ngạch xuất khẩu thủy sản</t>
  </si>
  <si>
    <t>Giá trị thu hoạch/ha diện tích canh tác thủy sản</t>
  </si>
  <si>
    <t>Tổng số tàu thuyền đánh bắt</t>
  </si>
  <si>
    <t>Trong đó: Tàu trên 90CV</t>
  </si>
  <si>
    <t>Tổng công suất tàu thuyền đánh bắt</t>
  </si>
  <si>
    <t>CV</t>
  </si>
  <si>
    <t>Diện tích đất có rừng</t>
  </si>
  <si>
    <t>Tổng diện tích rừng hiện có</t>
  </si>
  <si>
    <t>Trồng  rừng tập trung</t>
  </si>
  <si>
    <t xml:space="preserve">                 - Rừng sản xuất</t>
  </si>
  <si>
    <t>Trồng cây phân tán</t>
  </si>
  <si>
    <t>1000 cây</t>
  </si>
  <si>
    <t>Chăm sóc rừng</t>
  </si>
  <si>
    <t>Quản lý bảo vệ rừng</t>
  </si>
  <si>
    <t>Giao đất, giao rừng</t>
  </si>
  <si>
    <t xml:space="preserve">Diện tích rừng đặc dụng </t>
  </si>
  <si>
    <t>Diện tích rừng đặc dụng được bảo tồn</t>
  </si>
  <si>
    <t>5.10</t>
  </si>
  <si>
    <t>Diện tích rừng ngập mặn được bảo tồn</t>
  </si>
  <si>
    <t>Tổng diện tích khu bảo tồn thiên nhiên</t>
  </si>
  <si>
    <t>Sản lượng khai thác gỗ</t>
  </si>
  <si>
    <t>1000 m3</t>
  </si>
  <si>
    <t xml:space="preserve">                  - Gỗ rừng trồng</t>
  </si>
  <si>
    <t>Diện tích rừng bị cháy, bị chặt phá</t>
  </si>
  <si>
    <t xml:space="preserve">Giá trị thu hoạch 1 ha rừng trồng </t>
  </si>
  <si>
    <t xml:space="preserve">Tỷ lệ che phủ rừng </t>
  </si>
  <si>
    <t xml:space="preserve">Hạ tầng nông lâm ngư nghiệp </t>
  </si>
  <si>
    <t>Số Km  kênh mương được kiên cố hoá</t>
  </si>
  <si>
    <t>Hồ chứa</t>
  </si>
  <si>
    <t>cái</t>
  </si>
  <si>
    <t>Công suất các hồ chứa</t>
  </si>
  <si>
    <t>Tổng số Đê, kè</t>
  </si>
  <si>
    <t>Trong đó:   Số km kè sông được cứng hóa</t>
  </si>
  <si>
    <t>Số km đê biển được cứng hóa</t>
  </si>
  <si>
    <t>Tỷ lệ đê, kè được cứng hóa</t>
  </si>
  <si>
    <t>Đập</t>
  </si>
  <si>
    <t>Trạm bơm</t>
  </si>
  <si>
    <t>Tổng công suất tưới</t>
  </si>
  <si>
    <t>Tổng công suất tiêu</t>
  </si>
  <si>
    <t>Diện tích đất nông nghiệp được tưới</t>
  </si>
  <si>
    <t>Tỷ lệ Diện tích đất NN được tưới</t>
  </si>
  <si>
    <t>Diện tích đất nông nghiệpđược tiêu</t>
  </si>
  <si>
    <t>Tỷ lệ Diện tích đất NN được tiêu</t>
  </si>
  <si>
    <t>Số công trình thủy lợi phục vụ NTTS</t>
  </si>
  <si>
    <t>Công trình</t>
  </si>
  <si>
    <t>Số khu neo đậu tàu thuyền</t>
  </si>
  <si>
    <t>Số âu thuyền</t>
  </si>
  <si>
    <t>Âu thuyền</t>
  </si>
  <si>
    <t>Diện tích nò sáo được sắp xếp</t>
  </si>
  <si>
    <t>Diện tích NTTS được cấp, thoát nước bằng công trình thủy lợi</t>
  </si>
  <si>
    <t>Tổng công suất cảng cá, bến cá</t>
  </si>
  <si>
    <t>Tỷ lệ dân số được sử dụng nước sạch</t>
  </si>
  <si>
    <t xml:space="preserve">  Trong đó: Khu vực nông thôn</t>
  </si>
  <si>
    <t>% </t>
  </si>
  <si>
    <t>Tỷ lệ dân số nông thôn sử dụng nước hợp vệ sinh</t>
  </si>
  <si>
    <t>Số hộ nông thôn có công trình vệ sinh hợp vệ sinh</t>
  </si>
  <si>
    <t>Tỷ lệ hộ nông thôn có công trình vệ sinh hợp vệ sinh</t>
  </si>
  <si>
    <t>Tỷ lệ gia đình có chuồng trại gia súc hợp vệ sinh</t>
  </si>
  <si>
    <t>Số xã được công nhận đạt tiêu chí nông thôn mới</t>
  </si>
  <si>
    <t> 3,1</t>
  </si>
  <si>
    <t>3,4 </t>
  </si>
  <si>
    <t xml:space="preserve">Giá trị sản xuất nông, lâm, ngư nghiệp (giá thực tế) </t>
  </si>
  <si>
    <t>Giá trị sản xuất</t>
  </si>
  <si>
    <t>Phát triển nông lâm ngư nghiệp</t>
  </si>
  <si>
    <t>STT</t>
  </si>
  <si>
    <t>ChØ tiªu</t>
  </si>
  <si>
    <t>§¬n vÞ
tÝnh</t>
  </si>
  <si>
    <t>A</t>
  </si>
  <si>
    <t>T¨ng tr­ëng GDP</t>
  </si>
  <si>
    <t>%</t>
  </si>
  <si>
    <t>Trong ®ã:</t>
  </si>
  <si>
    <t xml:space="preserve"> - Tæng GDP theo VN§</t>
  </si>
  <si>
    <t xml:space="preserve"> - Tæng GDP qui USD </t>
  </si>
  <si>
    <t xml:space="preserve"> - GDP b×nh qu©n ®Çu ng­êi</t>
  </si>
  <si>
    <t>USD</t>
  </si>
  <si>
    <t>10-11</t>
  </si>
  <si>
    <t>1/100.000</t>
  </si>
  <si>
    <t>%o</t>
  </si>
  <si>
    <t>Ngh×n tû ®ång</t>
  </si>
  <si>
    <t>Tèc ®é t¨ng</t>
  </si>
  <si>
    <t>D</t>
  </si>
  <si>
    <t>Tên chỉ tiêu</t>
  </si>
  <si>
    <t>Đơn vị</t>
  </si>
  <si>
    <t>Mục tiêu KH 2006-2010</t>
  </si>
  <si>
    <t>TH năm 2006</t>
  </si>
  <si>
    <t>TH năm 2007</t>
  </si>
  <si>
    <t>Ước TH năm 2008</t>
  </si>
  <si>
    <t>Khả năng đạt mục tiêu KH 5 năm</t>
  </si>
  <si>
    <t>I.</t>
  </si>
  <si>
    <t>VỀ KINH TẾ</t>
  </si>
  <si>
    <t>Tốc độ tăng tổng sản phẩm trong nước (GDP)</t>
  </si>
  <si>
    <t>7,5-8%/năm, phấn đấu đạt &gt;8%</t>
  </si>
  <si>
    <t>Phấn đấu đạt</t>
  </si>
  <si>
    <t>GDP giá so sánh (năm 2000 là 273.666)</t>
  </si>
  <si>
    <t>tỷ đồng</t>
  </si>
  <si>
    <t>gấp 2,1 lần so với 2000</t>
  </si>
  <si>
    <t>491.258-493.603</t>
  </si>
  <si>
    <t>GDP bình quân đầu người</t>
  </si>
  <si>
    <t>Đạt</t>
  </si>
  <si>
    <t>Giá trị tăng thêm của NLNN</t>
  </si>
  <si>
    <t>Giá trị tăng thêm của CN-XD</t>
  </si>
  <si>
    <t>Giá trị tăng thêm của Dịch vụ</t>
  </si>
  <si>
    <t>Cơ cấu GDP</t>
  </si>
  <si>
    <t>- Nông lâm nghiệp và thủy sản</t>
  </si>
  <si>
    <t>Không đạt</t>
  </si>
  <si>
    <t>- Công nghiệp và xây dựng</t>
  </si>
  <si>
    <t>- Dịch vụ</t>
  </si>
  <si>
    <t>Tốc độ tăng kim ngạch xuất khẩu hàng hóa</t>
  </si>
  <si>
    <t>16</t>
  </si>
  <si>
    <t>Vốn đầu tư phát triển toàn xã hội so với GDP</t>
  </si>
  <si>
    <t>40</t>
  </si>
  <si>
    <t>Tỷ lệ huy động GDP hàng năm vào NSNN</t>
  </si>
  <si>
    <t>21-22</t>
  </si>
  <si>
    <t>II.</t>
  </si>
  <si>
    <t>VỀ XÃ HỘI</t>
  </si>
  <si>
    <t>Số địa phương đạt chuẩn chương trình phổ cập giáo dục trung học cơ sở</t>
  </si>
  <si>
    <t>Tỉnh</t>
  </si>
  <si>
    <t>64 (Hiện nay là 63)</t>
  </si>
  <si>
    <t>Sinh viên ĐH, cao đẳng/vạn dân</t>
  </si>
  <si>
    <t>SV</t>
  </si>
  <si>
    <t>200</t>
  </si>
  <si>
    <t>180</t>
  </si>
  <si>
    <t>188</t>
  </si>
  <si>
    <t>Tỷ lệ lao động qua đào tạo</t>
  </si>
  <si>
    <t>30,5</t>
  </si>
  <si>
    <t>37</t>
  </si>
  <si>
    <t>Tốc độ phát triển dân số</t>
  </si>
  <si>
    <t>Tạo việc làm</t>
  </si>
  <si>
    <t>Triệu LĐ</t>
  </si>
  <si>
    <t>Tỷ lệ thất nghiệp thành thị</t>
  </si>
  <si>
    <t>Tỷ trọng lao động nông lâm ngư nghiệp trong tổng lao động (năm 2005 là 58%)</t>
  </si>
  <si>
    <t>Tuổi thọ trung bình</t>
  </si>
  <si>
    <t>Tuổi</t>
  </si>
  <si>
    <t>72</t>
  </si>
  <si>
    <t>71,5</t>
  </si>
  <si>
    <t>Tốc độ tăng tuyển mới trung cấp chuyên nghiệp</t>
  </si>
  <si>
    <t>13,4</t>
  </si>
  <si>
    <t>Tăng tuyển mới cao đẳng nghề và trung cấp nghề</t>
  </si>
  <si>
    <t>17,0</t>
  </si>
  <si>
    <t>Tỷ lệ tử vong trẻ em dưới 1 tuổi</t>
  </si>
  <si>
    <t>Vượt</t>
  </si>
  <si>
    <t>Tỷ lệ trẻ em dưới 5 tuổi bị suy dinh dưỡng</t>
  </si>
  <si>
    <t>Tỷ lệ tử vong bà mẹ liên quan đến thai sản/100.000 trẻ đẻ sống</t>
  </si>
  <si>
    <t>Bác sĩ/vạn dân</t>
  </si>
  <si>
    <t>bác sĩ</t>
  </si>
  <si>
    <t>Tỷ lệ hộ nghèo (Năm 2005 là 22%)</t>
  </si>
  <si>
    <t>Điện thoại/100 dân</t>
  </si>
  <si>
    <t>máy</t>
  </si>
  <si>
    <t>Internet/100 dân</t>
  </si>
  <si>
    <t>thuê bao</t>
  </si>
  <si>
    <t>III.</t>
  </si>
  <si>
    <t>VỀ MÔI TRƯỜNG</t>
  </si>
  <si>
    <t>Tỷ lệ che phủ rừng</t>
  </si>
  <si>
    <t>Tỷ lệ dân số nông thôn được sử dụng nước hợp vệ sinh</t>
  </si>
  <si>
    <t>Tỷ lệ dân số đô thị được sử dụng nước sạch</t>
  </si>
  <si>
    <t>Thùc hiÖn 2005</t>
  </si>
  <si>
    <t>Ghi chó</t>
  </si>
  <si>
    <t>Dự kiến 2 năm 2009-2010</t>
  </si>
  <si>
    <t>Gấp 1,8 lần</t>
  </si>
  <si>
    <t>Gấp 1,9 lần</t>
  </si>
  <si>
    <t>Thực hiện 2005</t>
  </si>
  <si>
    <t>&lt;18</t>
  </si>
  <si>
    <t xml:space="preserve">CHỈ TIÊU 2 NĂM CÒN LẠI 2009-2010 THEO VĂN KIỆN ĐẠI HỘI ĐẢNG X </t>
  </si>
  <si>
    <t>I</t>
  </si>
  <si>
    <t>II</t>
  </si>
  <si>
    <t>8 (5 năm)</t>
  </si>
  <si>
    <t>58-60</t>
  </si>
  <si>
    <t>Phô lôc 13</t>
  </si>
  <si>
    <t>Nguån vèn huy ®éng</t>
  </si>
  <si>
    <t>- TiÒn göi b»ng VN§</t>
  </si>
  <si>
    <t>- TiÒn göi b»ng ngo¹i tÖ</t>
  </si>
  <si>
    <t>- Tû lÖ tiÒn mÆt ngoµi hÖ thèng ng©n hµng/M2</t>
  </si>
  <si>
    <t>Tæng d­ nî cho vay nÒn kinh tÕ</t>
  </si>
  <si>
    <t>- Cho vay b»ng VN§</t>
  </si>
  <si>
    <t>- Cho vay ngo¹i tÖ</t>
  </si>
  <si>
    <t>GDP</t>
  </si>
  <si>
    <t>- Tû lÖ tiÒn göi/GDP</t>
  </si>
  <si>
    <t>III</t>
  </si>
  <si>
    <t>IV</t>
  </si>
  <si>
    <t>Tæng ph­¬ng tiÖn thanh to¸n/GDP</t>
  </si>
  <si>
    <t>TiÒn mÆt l­u th«ng ngoµi hÖ thèng ng©n hµng</t>
  </si>
  <si>
    <t>Tæng ph­¬ng tiÖn thanh to¸n (M2)</t>
  </si>
  <si>
    <t>+ Tèc ®é t¨ng</t>
  </si>
  <si>
    <t>+Tû lÖ cho vay b»ng VN§/tæng d­ nî</t>
  </si>
  <si>
    <t>+ Tû lÖ cho vay b»ng ngo¹i tÖ/tæng d­ nî</t>
  </si>
  <si>
    <t>- Tèc ®é t¨ng</t>
  </si>
  <si>
    <t>Bình quân/ Thực hiện 3 năm 2006-2008</t>
  </si>
  <si>
    <t>&lt;4,5</t>
  </si>
  <si>
    <t>Khó đạt</t>
  </si>
  <si>
    <t>Gấp 2,0 lần</t>
  </si>
  <si>
    <r>
      <t>25,0</t>
    </r>
    <r>
      <rPr>
        <vertAlign val="superscript"/>
        <sz val="12"/>
        <rFont val="Times New Roman"/>
        <family val="1"/>
      </rPr>
      <t>(1)</t>
    </r>
  </si>
  <si>
    <r>
      <t>(1)</t>
    </r>
    <r>
      <rPr>
        <sz val="12"/>
        <rFont val="Times New Roman"/>
        <family val="1"/>
      </rPr>
      <t xml:space="preserve"> Bình quân năm 2007-2008. Năm 2006 chưa có chỉ tiêu cao đẳng nghề và trung cấp nghề.</t>
    </r>
  </si>
  <si>
    <t>Phụ lục 2</t>
  </si>
  <si>
    <t>Môc tiªu KH 2011-2015</t>
  </si>
  <si>
    <t>tiÒn tÖ - tÝn dông 2011-2015</t>
  </si>
  <si>
    <t xml:space="preserve"> CÁN CÂN THANH TOÁN QUỐC TẾ </t>
  </si>
  <si>
    <t>Đơn vị: triệu USD</t>
  </si>
  <si>
    <t>Mục tiêu kế hoạch 5 năm 2011-2015</t>
  </si>
  <si>
    <t>Thực hiện 
2007</t>
  </si>
  <si>
    <t>Thực hiện
2008</t>
  </si>
  <si>
    <t>Kế hoạch
2009</t>
  </si>
  <si>
    <t>Ước thực hiện
2009</t>
  </si>
  <si>
    <t>KH 2010</t>
  </si>
  <si>
    <t>KH 2012</t>
  </si>
  <si>
    <t>KH 2013</t>
  </si>
  <si>
    <t>KH 2014</t>
  </si>
  <si>
    <t>KH 2015</t>
  </si>
  <si>
    <t>Cán cân thương mại</t>
  </si>
  <si>
    <t>Xuất khẩu</t>
  </si>
  <si>
    <t>Nhập khẩu</t>
  </si>
  <si>
    <t>Nhập khẩu (giá CIF)</t>
  </si>
  <si>
    <t>Dịch vụ</t>
  </si>
  <si>
    <t>Thu</t>
  </si>
  <si>
    <t>Chi</t>
  </si>
  <si>
    <t>Thu nhập đầu tư</t>
  </si>
  <si>
    <t>Chuyển tiền</t>
  </si>
  <si>
    <t>Nhà nước</t>
  </si>
  <si>
    <t>Tư nhân</t>
  </si>
  <si>
    <t>Cán cân vãng lai</t>
  </si>
  <si>
    <t>Cán cân vốn</t>
  </si>
  <si>
    <t>Đầu tư trực tiếp nước ngoài</t>
  </si>
  <si>
    <t>Vay trả nợ trung dài hạn</t>
  </si>
  <si>
    <t>Vay</t>
  </si>
  <si>
    <t>Trả đến hạn</t>
  </si>
  <si>
    <t>Vay ngắn hạn</t>
  </si>
  <si>
    <t>Đầu tư vào giấy tờ có giá</t>
  </si>
  <si>
    <t>Tiền và tiền gửi</t>
  </si>
  <si>
    <t>Lỗi - sai số</t>
  </si>
  <si>
    <t>Cán cân tổng thể</t>
  </si>
  <si>
    <t>Chi số giá</t>
  </si>
  <si>
    <t>PA1</t>
  </si>
  <si>
    <t>PA2</t>
  </si>
  <si>
    <t>TB</t>
  </si>
  <si>
    <t>Tỷ giá</t>
  </si>
  <si>
    <t>Dân số</t>
  </si>
  <si>
    <t>Tổng 5 năm</t>
  </si>
  <si>
    <t>Nguồn</t>
  </si>
  <si>
    <t>KN nhập khẩu</t>
  </si>
  <si>
    <t>Nhập khẩu (giá FOB)</t>
  </si>
  <si>
    <t>Sử dụng</t>
  </si>
  <si>
    <t>Tiêu dùng cuối cùng</t>
  </si>
  <si>
    <t>Tổng tích lũy tài sản</t>
  </si>
  <si>
    <t>Tiết kiệm</t>
  </si>
  <si>
    <t>KNXK</t>
  </si>
  <si>
    <t>XK (giá FOB)</t>
  </si>
  <si>
    <t>Chênh lệch XNK HH và DV</t>
  </si>
  <si>
    <t>Đơn vị tính</t>
  </si>
  <si>
    <t>Ng.tỷ Đ</t>
  </si>
  <si>
    <t>Tỷ USD</t>
  </si>
  <si>
    <t>Ng.Đ</t>
  </si>
  <si>
    <t>Cơ cấu</t>
  </si>
  <si>
    <t>Cơ cấu Tích lũy - tiêu dùng</t>
  </si>
  <si>
    <t>Tiêu dùng</t>
  </si>
  <si>
    <t>TÍch lũy</t>
  </si>
  <si>
    <t>Tiêu dùng/GDP</t>
  </si>
  <si>
    <t>TÍch lũy/GDP</t>
  </si>
  <si>
    <t>Tiết kiệm/GDP</t>
  </si>
  <si>
    <t>NN</t>
  </si>
  <si>
    <t>CN</t>
  </si>
  <si>
    <t>DV</t>
  </si>
  <si>
    <t>NN 1</t>
  </si>
  <si>
    <t>CN 1</t>
  </si>
  <si>
    <t>FII</t>
  </si>
  <si>
    <t>GDP thuc te 1</t>
  </si>
  <si>
    <t>GDP thuc te 2</t>
  </si>
  <si>
    <t>NN 2</t>
  </si>
  <si>
    <t>CN 2</t>
  </si>
  <si>
    <t>DV1</t>
  </si>
  <si>
    <t>DV2</t>
  </si>
  <si>
    <t>Lao dong</t>
  </si>
  <si>
    <t>2015-1</t>
  </si>
  <si>
    <t>2015-2</t>
  </si>
  <si>
    <t>trieu ld</t>
  </si>
  <si>
    <t>Nang suat lao dong</t>
  </si>
  <si>
    <t>Tong 1</t>
  </si>
  <si>
    <t>¦íc thùc hiÖn 2011</t>
  </si>
  <si>
    <t>Trong đó:</t>
  </si>
  <si>
    <t>TỔNG SỐ</t>
  </si>
  <si>
    <t>Nông nghiệp</t>
  </si>
  <si>
    <t>Tỷ trọng so với tổng số (%)</t>
  </si>
  <si>
    <t>Công nghiệp và xây dựng</t>
  </si>
  <si>
    <t>Trong đó</t>
  </si>
  <si>
    <t>Khai khoáng</t>
  </si>
  <si>
    <t>Công nghiệp chế biến và chế tạo</t>
  </si>
  <si>
    <t>Sản xuất và phân phối điện, khí đốt, nước nóng, hơi nước và điều hòa không khí</t>
  </si>
  <si>
    <t>Cung cấp nước; hoạt động quản lý và xử lý nước thải</t>
  </si>
  <si>
    <t>Xây dựng</t>
  </si>
  <si>
    <t>Bán buôn và bán lẻ; sửa chữa ô tô, mô tô và xe máy và xe có động cơ khác</t>
  </si>
  <si>
    <t>Vận tải; kho bãi</t>
  </si>
  <si>
    <t>Dịch vụ lưu trú và ăn uống</t>
  </si>
  <si>
    <t>Thông tin và truyền thông</t>
  </si>
  <si>
    <t>Hoạt động tài chính, ngân hàng và  bảo hiểm</t>
  </si>
  <si>
    <t>Hoạt động kinh doanh bất động sản</t>
  </si>
  <si>
    <t>Hoạt động chuyên môn và khoa học công nghệ</t>
  </si>
  <si>
    <t>Hoạt động hành chính và dịch vụ hỗ trợ</t>
  </si>
  <si>
    <t>Hoạt động của Đảng cộng sản, tổ chức chính trị - xã hội; quản lý Nhà nước, an ninh quốc phòng; đảm bảo xã hội bắt buộc</t>
  </si>
  <si>
    <t>Giáo dục và đào tạo</t>
  </si>
  <si>
    <t xml:space="preserve">Y tế và hoạt động trợ giúp xã hội </t>
  </si>
  <si>
    <t>Nghệ thuật, vui chơi và giải trí</t>
  </si>
  <si>
    <t>Hoạt động khác</t>
  </si>
  <si>
    <t>Hoàn trả tạm ứng theo Quyết định 910/QĐ-TTg (phần địa phương)</t>
  </si>
  <si>
    <t>VI</t>
  </si>
  <si>
    <t>Các khoản chưa phân bổ cụ thể</t>
  </si>
  <si>
    <t>Chuẩn bị đầu tư</t>
  </si>
  <si>
    <t>An ninh</t>
  </si>
  <si>
    <t>Quốc phòng</t>
  </si>
  <si>
    <t>Quản lý nhà nước</t>
  </si>
  <si>
    <t>Thông tin</t>
  </si>
  <si>
    <t>Thể thao</t>
  </si>
  <si>
    <t>Văn hóa</t>
  </si>
  <si>
    <t>Tổng VH+TT</t>
  </si>
  <si>
    <t>Văn hoá</t>
  </si>
  <si>
    <t>Xã hội</t>
  </si>
  <si>
    <t>Y tế</t>
  </si>
  <si>
    <t>Y tế - xã hội</t>
  </si>
  <si>
    <t>Tài nguyên và Môi trường</t>
  </si>
  <si>
    <t>qlnn</t>
  </si>
  <si>
    <t>Khoa học, công nghệ và công nghệ thông tin</t>
  </si>
  <si>
    <t>cap nuoc</t>
  </si>
  <si>
    <t>gt</t>
  </si>
  <si>
    <t>Cấp nước và xử lý rác thải, nước thải</t>
  </si>
  <si>
    <t>nn</t>
  </si>
  <si>
    <t>Lĩnh vực xã hội</t>
  </si>
  <si>
    <t>Kho tàng</t>
  </si>
  <si>
    <t>Giao thông vận tải</t>
  </si>
  <si>
    <t>Nông, lâm nghiệp và thủy sản</t>
  </si>
  <si>
    <t>Công nghiệp</t>
  </si>
  <si>
    <t>Lĩnh vực kinh tế</t>
  </si>
  <si>
    <t>- Chi bổ sung dự trữ nhà nước</t>
  </si>
  <si>
    <t>- Vốn điều lệ: Quỹ hợp tác xã</t>
  </si>
  <si>
    <t>- Cho vay chính sách hộ đồng bào dân tộc thiểu số đặc biệt khó khăn, nhà ở cho người nghèo, cho vay hộ đồng bào nghèo vùng Đồng bằng Sông Cửu Long,...</t>
  </si>
  <si>
    <t>- Lợi nhuận để lại đầu tư của Tập đoàn Dầu khí</t>
  </si>
  <si>
    <t>Cho vay giải quyết việc làm</t>
  </si>
  <si>
    <t>- Bù lãi suất tín dụng đầu tư và tín dụng chính sách xã hội</t>
  </si>
  <si>
    <t>- Bổ sung vốn cho các doanh nghiệp công ích và doanh nghiệp của khu kinh tế quốc phòng</t>
  </si>
  <si>
    <t>- Bổ sung các Quỹ xúc tiến thương mại, đầu tư, du lịch và góp vốn cổ phần các tổ chức tài chính quốc tế</t>
  </si>
  <si>
    <t>CÁC KHOẢN CHI CHUNG</t>
  </si>
  <si>
    <t>Phụ lục 17</t>
  </si>
  <si>
    <t>2011-2015</t>
  </si>
  <si>
    <t>Ngành, lĩnh vực</t>
  </si>
  <si>
    <t>Phụ lục 12b</t>
  </si>
  <si>
    <t>Phụ lục 13b</t>
  </si>
  <si>
    <t>Phương án 1</t>
  </si>
  <si>
    <t>Phương án 2</t>
  </si>
  <si>
    <r>
      <t xml:space="preserve">ĐẦU TƯ PHÁT TRIỂN TOÀN XÃ HỘI THEO NGÀNH, LĨNH VỰC GIAI ĐOẠN 2011-2015
</t>
    </r>
    <r>
      <rPr>
        <b/>
        <i/>
        <sz val="14"/>
        <rFont val="Times New Roman"/>
        <family val="1"/>
      </rPr>
      <t>(Phương án 2)</t>
    </r>
  </si>
  <si>
    <t>-</t>
  </si>
  <si>
    <t>Đơn vị: Tỷ đồng (giá thực tế)</t>
  </si>
  <si>
    <r>
      <t xml:space="preserve">ĐẦU TƯ NGUỒN NSNN VÀ TPCP PHÂN THEO NGÀNH, LĨNH VỰC GIAI ĐOẠN 2011-2015
</t>
    </r>
    <r>
      <rPr>
        <b/>
        <i/>
        <sz val="12"/>
        <rFont val="Times New Roman"/>
        <family val="1"/>
      </rPr>
      <t>(Phương án 2)</t>
    </r>
  </si>
  <si>
    <t>Chỉ tiêu</t>
  </si>
  <si>
    <t>TH 2011</t>
  </si>
  <si>
    <t>TH 2012</t>
  </si>
  <si>
    <t>TH 2013</t>
  </si>
  <si>
    <t>Ước TH 2015</t>
  </si>
  <si>
    <t xml:space="preserve"> Nghìn tấn </t>
  </si>
  <si>
    <t>Tỷ đồng</t>
  </si>
  <si>
    <t>Triệu đồng</t>
  </si>
  <si>
    <t>Chăn nuôi</t>
  </si>
  <si>
    <t xml:space="preserve">   - Trồng trọt</t>
  </si>
  <si>
    <t xml:space="preserve">   - Chăn nuôi</t>
  </si>
  <si>
    <t>Lâm nghiệp</t>
  </si>
  <si>
    <t>Tr.đồng/ năm</t>
  </si>
  <si>
    <t>Ha</t>
  </si>
  <si>
    <t>Sản lượng lương thực có hạt</t>
  </si>
  <si>
    <t>Đàn trâu</t>
  </si>
  <si>
    <t>1000 con</t>
  </si>
  <si>
    <t>Đàn bò</t>
  </si>
  <si>
    <t>Đàn lợn</t>
  </si>
  <si>
    <t>Gia cầm</t>
  </si>
  <si>
    <t>Triệu con</t>
  </si>
  <si>
    <t>Khoanh nuôi tái sinh</t>
  </si>
  <si>
    <t>KH 2016</t>
  </si>
  <si>
    <t>KH 2017</t>
  </si>
  <si>
    <t>KH 2018</t>
  </si>
  <si>
    <t>KH 2019</t>
  </si>
  <si>
    <t>KH 2020</t>
  </si>
  <si>
    <t>KH 2016-2020</t>
  </si>
  <si>
    <t>Ước TH 2011-2015</t>
  </si>
  <si>
    <t>Tốc độ tăng giá trị sản xuất</t>
  </si>
  <si>
    <t>Cơ cấu giá trị sản xuất 
 (Giá thực tế)</t>
  </si>
  <si>
    <t>Số lao động trong ngành nông lâm, ngư nghiệp</t>
  </si>
  <si>
    <t>Năng suất lao động nông lâm, ngư nghiệp chia theo GTSX (giá so sánh 2010)</t>
  </si>
  <si>
    <t>Trồng trọt</t>
  </si>
  <si>
    <t xml:space="preserve">Thuỷ sản </t>
  </si>
  <si>
    <t>Thịt hơi các loại</t>
  </si>
  <si>
    <t>Tấn</t>
  </si>
  <si>
    <t>Triệu USD</t>
  </si>
  <si>
    <t>Khu</t>
  </si>
  <si>
    <t>Chiếc</t>
  </si>
  <si>
    <t>Km</t>
  </si>
  <si>
    <t>Trạm</t>
  </si>
  <si>
    <t>Giao rừng</t>
  </si>
  <si>
    <t>Giao đất</t>
  </si>
  <si>
    <t xml:space="preserve">                 - Rừng đặc dụng, P. hộ</t>
  </si>
  <si>
    <t xml:space="preserve">   Nuôi chuyên tôm sú,chân trắng</t>
  </si>
  <si>
    <t>3,5</t>
  </si>
  <si>
    <t>3,7</t>
  </si>
  <si>
    <t>12,5</t>
  </si>
  <si>
    <t>23,5</t>
  </si>
  <si>
    <r>
      <t>Trong đó:</t>
    </r>
    <r>
      <rPr>
        <sz val="12"/>
        <rFont val="Times New Roman"/>
        <family val="1"/>
      </rPr>
      <t xml:space="preserve"> Diện tích rừng ngập nước</t>
    </r>
  </si>
  <si>
    <r>
      <t>Trong đó:</t>
    </r>
    <r>
      <rPr>
        <sz val="12"/>
        <rFont val="Times New Roman"/>
        <family val="1"/>
      </rPr>
      <t xml:space="preserve"> </t>
    </r>
  </si>
  <si>
    <r>
      <t>Trong đó:</t>
    </r>
    <r>
      <rPr>
        <sz val="12"/>
        <rFont val="Times New Roman"/>
        <family val="1"/>
      </rPr>
      <t xml:space="preserve">  - Gỗ rừng tự nhiên</t>
    </r>
  </si>
  <si>
    <t>lượt tàu/năm</t>
  </si>
  <si>
    <t xml:space="preserve">Dân số trung bình </t>
  </si>
  <si>
    <t>người</t>
  </si>
  <si>
    <t>Tổng công suất các khu neo đậu, tránh trú (tàu trên 20 CV)</t>
  </si>
  <si>
    <t>Rau các loại: Diện tích</t>
  </si>
  <si>
    <t>- Tôm thẻchân trắng</t>
  </si>
  <si>
    <t xml:space="preserve"> </t>
  </si>
  <si>
    <t>1.000 Người</t>
  </si>
  <si>
    <t>Tỷ lệ diện tích NTTS nước mặn, lợ được cấp, thoát nước bằng công trình thủy lợi</t>
  </si>
  <si>
    <t>TH 2014</t>
  </si>
  <si>
    <t>BIỂU CÁC CHỈ TIÊU VỀ NÔNG  NGHIỆP VÀ PHÁT TRIỂN NÔNG THÔN GIAI ĐOẠN 2016-2020</t>
  </si>
  <si>
    <t>PHỤ LỤC 1:</t>
  </si>
  <si>
    <t>1.000 m3</t>
  </si>
  <si>
    <t>Cơ cấu giá trị sản xuất 
 (Giá so sánh 2010)</t>
  </si>
  <si>
    <t xml:space="preserve">   - Dịch vụ nông nghiệp</t>
  </si>
  <si>
    <t>Cơ cấu giá trị sản xuất nội ngành nông nghiệp (Giá so sánh 2010)</t>
  </si>
  <si>
    <t xml:space="preserve">            - Dịch vụ nông nghiệp</t>
  </si>
  <si>
    <t>Stt</t>
  </si>
  <si>
    <t>Cơ cấu giá trị sản xuất ngành Nông nghiệp và PTNT (Giá so sánh 2010)</t>
  </si>
  <si>
    <t>Cơ cấu giá trị sản xuất nội ngành Thủy sản (Giá so sánh 2010)</t>
  </si>
  <si>
    <t xml:space="preserve">   - Nuôi trồng</t>
  </si>
  <si>
    <t xml:space="preserve">   - Khai thác</t>
  </si>
  <si>
    <t>Cơ cấu giá trị sản xuất nội ngành lâm nghiệp (Giá so sánh 2010)</t>
  </si>
  <si>
    <t xml:space="preserve">   - Trồng và chăm sóc rừng</t>
  </si>
  <si>
    <t xml:space="preserve">   - Khai thác lâm sản</t>
  </si>
  <si>
    <t xml:space="preserve">            - Thu nhặt sản phẩm khác</t>
  </si>
  <si>
    <t xml:space="preserve">            - Dịch vụ lâm nghiệp</t>
  </si>
  <si>
    <r>
      <t>Trong đó:</t>
    </r>
    <r>
      <rPr>
        <sz val="13"/>
        <rFont val="Times New Roman"/>
        <family val="1"/>
      </rPr>
      <t xml:space="preserve"> Diện tích rừng ngập nước</t>
    </r>
  </si>
  <si>
    <r>
      <t>Trong đó:</t>
    </r>
    <r>
      <rPr>
        <sz val="13"/>
        <rFont val="Times New Roman"/>
        <family val="1"/>
      </rPr>
      <t xml:space="preserve"> </t>
    </r>
  </si>
  <si>
    <r>
      <t>Trong đó:</t>
    </r>
    <r>
      <rPr>
        <sz val="13"/>
        <rFont val="Times New Roman"/>
        <family val="1"/>
      </rPr>
      <t xml:space="preserve">  - Gỗ rừng tự nhiên</t>
    </r>
  </si>
  <si>
    <t xml:space="preserve"> - Tôm thẻ chân trắng</t>
  </si>
  <si>
    <t xml:space="preserve">       Sản lượng khai thác</t>
  </si>
  <si>
    <t xml:space="preserve">   - Khai thác biển</t>
  </si>
  <si>
    <t xml:space="preserve">   - Khai thác sông, đầm</t>
  </si>
  <si>
    <t xml:space="preserve">   Nuôi chuyên tôm sú, chân trắng</t>
  </si>
  <si>
    <t xml:space="preserve">   + Trồng trọt</t>
  </si>
  <si>
    <t xml:space="preserve">   + Chăn nuôi</t>
  </si>
  <si>
    <t>Tốc độ tăng bình quân giá trị SX 2015-2020</t>
  </si>
  <si>
    <t>Tính theo Tỷ lệ tăng DS năm 2014: 0,0088 %</t>
  </si>
  <si>
    <t>Sản lương từ 2016-2020 chỉ dự ước do diện tích không dự báo đươc</t>
  </si>
  <si>
    <t xml:space="preserve">   + Dịch vụ và các hoạt động khác</t>
  </si>
  <si>
    <t>MỘT SỐ CHỈ TIÊU CHỦ YẾU</t>
  </si>
  <si>
    <t>TỐC ĐỘ TĂNG BQ GĐ 2016-2020 (%)</t>
  </si>
  <si>
    <t> TT</t>
  </si>
  <si>
    <t>§Êt  l©m nghiÖp</t>
  </si>
  <si>
    <t xml:space="preserve"> §Êt rõng s¶n xuÊt</t>
  </si>
  <si>
    <t>1.1</t>
  </si>
  <si>
    <t xml:space="preserve">  §Êt cã rõng tù nhiªn s¶n xuÊt</t>
  </si>
  <si>
    <t>1.2</t>
  </si>
  <si>
    <t xml:space="preserve">  §Êt cã rõng trång s¶n xuÊt</t>
  </si>
  <si>
    <t>1.3</t>
  </si>
  <si>
    <t xml:space="preserve">  §Êt khoanh nu«i phôc håi rõng s¶n xuÊt</t>
  </si>
  <si>
    <t>1.4</t>
  </si>
  <si>
    <t xml:space="preserve">  §Êt trång rõng s¶n xuÊt</t>
  </si>
  <si>
    <t xml:space="preserve"> §Êt rõng phßng hé</t>
  </si>
  <si>
    <t>2.1</t>
  </si>
  <si>
    <t xml:space="preserve">  §Êt cã rõng tù nhiªn phßng hé</t>
  </si>
  <si>
    <t>2.2</t>
  </si>
  <si>
    <t xml:space="preserve">  §Êt cã rõng trång phßng hé</t>
  </si>
  <si>
    <t>2.3</t>
  </si>
  <si>
    <t xml:space="preserve">  §Êt khoanh nu«i phôc håi rõng phßng hé</t>
  </si>
  <si>
    <t>2.4</t>
  </si>
  <si>
    <t xml:space="preserve">  §Êt trång rõng phßng hé</t>
  </si>
  <si>
    <t xml:space="preserve"> §Êt rõng ®Æc dông</t>
  </si>
  <si>
    <t>3.1</t>
  </si>
  <si>
    <t xml:space="preserve">  §Êt cã rõng tù nhiªn ®Æc dông</t>
  </si>
  <si>
    <t>3.2</t>
  </si>
  <si>
    <t xml:space="preserve">  §Êt cã rõng trång ®Æc dông</t>
  </si>
  <si>
    <t>3.3</t>
  </si>
  <si>
    <t xml:space="preserve">  §Êt khoanh nu«i phôc håi rõng ®Æc dông</t>
  </si>
  <si>
    <t>3.4</t>
  </si>
  <si>
    <t xml:space="preserve">  §Êt trång rõng ®Æc dông</t>
  </si>
  <si>
    <t>Trong đó: DT lúa chất lượng</t>
  </si>
  <si>
    <t xml:space="preserve">               Sản lượng lúa chất lượng</t>
  </si>
  <si>
    <t>Trong đó: Diện tích rau an toàn</t>
  </si>
  <si>
    <t xml:space="preserve">               Sản lượng rau an toàn</t>
  </si>
  <si>
    <t>Trong đó: Đàn bò lai</t>
  </si>
  <si>
    <t>Trong đó: Lợn tỷ lệ nạc cao</t>
  </si>
  <si>
    <t>Cây bưởi thanh trà: Diện tích</t>
  </si>
  <si>
    <t xml:space="preserve">                            Sản lượng</t>
  </si>
  <si>
    <t>Giá trị thu hoạch/ha/năm canh tác đất trồng cây lúa</t>
  </si>
</sst>
</file>

<file path=xl/styles.xml><?xml version="1.0" encoding="utf-8"?>
<styleSheet xmlns="http://schemas.openxmlformats.org/spreadsheetml/2006/main">
  <numFmts count="4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_-;\-* #,##0_-;_-* &quot;-&quot;_-;_-@_-"/>
    <numFmt numFmtId="173" formatCode="_-* #,##0.00_-;\-* #,##0.00_-;_-* &quot;-&quot;??_-;_-@_-"/>
    <numFmt numFmtId="174" formatCode="_(* #,##0.0_);_(* \(#,##0.0\);_(* &quot;-&quot;??_);_(@_)"/>
    <numFmt numFmtId="175" formatCode="#,##0.0"/>
    <numFmt numFmtId="176" formatCode="#,##0.000"/>
    <numFmt numFmtId="177" formatCode="0.0"/>
    <numFmt numFmtId="178" formatCode="_(* #,##0_);_(* \(#,##0\);_(* &quot;-&quot;??_);_(@_)"/>
    <numFmt numFmtId="179" formatCode="0.000"/>
    <numFmt numFmtId="180" formatCode="&quot;\&quot;#,##0;[Red]&quot;\&quot;\-#,##0"/>
    <numFmt numFmtId="181" formatCode="&quot;\&quot;#,##0.00;[Red]&quot;\&quot;\-#,##0.00"/>
    <numFmt numFmtId="182" formatCode="\$#,##0\ ;\(\$#,##0\)"/>
    <numFmt numFmtId="183" formatCode="&quot;\&quot;#,##0;[Red]&quot;\&quot;&quot;\&quot;\-#,##0"/>
    <numFmt numFmtId="184" formatCode="&quot;\&quot;#,##0.00;[Red]&quot;\&quot;&quot;\&quot;&quot;\&quot;&quot;\&quot;&quot;\&quot;&quot;\&quot;\-#,##0.00"/>
    <numFmt numFmtId="185" formatCode="_-&quot;€&quot;* #,##0_-;\-&quot;€&quot;* #,##0_-;_-&quot;€&quot;* &quot;-&quot;_-;_-@_-"/>
    <numFmt numFmtId="186" formatCode="_-&quot;€&quot;* #,##0.00_-;\-&quot;€&quot;* #,##0.00_-;_-&quot;€&quot;* &quot;-&quot;??_-;_-@_-"/>
    <numFmt numFmtId="187" formatCode="&quot;VND&quot;#,##0_);[Red]\(&quot;VND&quot;#,##0\)"/>
    <numFmt numFmtId="188" formatCode="#,##0;\(#,##0\)"/>
    <numFmt numFmtId="189" formatCode="\t0.00%"/>
    <numFmt numFmtId="190" formatCode="\t#\ ??/??"/>
    <numFmt numFmtId="191" formatCode="m/d"/>
    <numFmt numFmtId="192" formatCode="&quot;ß&quot;#,##0;\-&quot;&quot;\ß&quot;&quot;#,##0"/>
    <numFmt numFmtId="193" formatCode="#,##0.00\ &quot;F&quot;;[Red]\-#,##0.00\ &quot;F&quot;"/>
    <numFmt numFmtId="194" formatCode="_-* #,##0\ &quot;F&quot;_-;\-* #,##0\ &quot;F&quot;_-;_-* &quot;-&quot;\ &quot;F&quot;_-;_-@_-"/>
    <numFmt numFmtId="195" formatCode="#,##0\ &quot;F&quot;;[Red]\-#,##0\ &quot;F&quot;"/>
    <numFmt numFmtId="196" formatCode="#,##0.00\ &quot;F&quot;;\-#,##0.00\ &quot;F&quot;"/>
    <numFmt numFmtId="197" formatCode="#,##0.00000000"/>
    <numFmt numFmtId="198" formatCode="_(* #,##0.0_);_(* \(#,##0.0\);_(* &quot;-&quot;?_);_(@_)"/>
    <numFmt numFmtId="199" formatCode="_(* #,##0.000_);_(* \(#,##0.000\);_(* &quot;-&quot;??_);_(@_)"/>
    <numFmt numFmtId="200" formatCode="_(* #,##0.00000_);_(* \(#,##0.00000\);_(* &quot;-&quot;??_);_(@_)"/>
    <numFmt numFmtId="201" formatCode="0.000000"/>
    <numFmt numFmtId="202" formatCode="_(* #,##0_);_(* \(#,##0\);_(* &quot;-&quot;?_);_(@_)"/>
    <numFmt numFmtId="203" formatCode="_(* #,##0.00_);_(* \(#,##0.00\);_(* &quot;-&quot;?_);_(@_)"/>
    <numFmt numFmtId="204" formatCode="#,##0.0000"/>
  </numFmts>
  <fonts count="106">
    <font>
      <sz val="10"/>
      <name val="Arial"/>
      <family val="0"/>
    </font>
    <font>
      <sz val="12"/>
      <color indexed="8"/>
      <name val=".VnTime"/>
      <family val="2"/>
    </font>
    <font>
      <b/>
      <i/>
      <sz val="12"/>
      <color indexed="8"/>
      <name val=".vntime"/>
      <family val="2"/>
    </font>
    <font>
      <b/>
      <sz val="12"/>
      <color indexed="8"/>
      <name val=".VnTimeH"/>
      <family val="2"/>
    </font>
    <font>
      <b/>
      <sz val="11"/>
      <name val=".VnTimeH"/>
      <family val="2"/>
    </font>
    <font>
      <b/>
      <sz val="11"/>
      <name val=".VnTime"/>
      <family val="2"/>
    </font>
    <font>
      <b/>
      <sz val="12"/>
      <name val=".VnTime"/>
      <family val="2"/>
    </font>
    <font>
      <sz val="11"/>
      <name val=".VnTime"/>
      <family val="2"/>
    </font>
    <font>
      <sz val="12"/>
      <name val=".VnTime"/>
      <family val="2"/>
    </font>
    <font>
      <sz val="11"/>
      <name val="Times New Roman"/>
      <family val="1"/>
    </font>
    <font>
      <sz val="11"/>
      <color indexed="8"/>
      <name val=".VnTime"/>
      <family val="2"/>
    </font>
    <font>
      <sz val="8"/>
      <name val="Arial"/>
      <family val="2"/>
    </font>
    <font>
      <b/>
      <i/>
      <sz val="14"/>
      <color indexed="8"/>
      <name val=".VnTime"/>
      <family val="2"/>
    </font>
    <font>
      <b/>
      <sz val="12"/>
      <color indexed="8"/>
      <name val=".VnTime"/>
      <family val="2"/>
    </font>
    <font>
      <i/>
      <sz val="12"/>
      <color indexed="8"/>
      <name val=".VnTime"/>
      <family val="2"/>
    </font>
    <font>
      <b/>
      <i/>
      <sz val="16"/>
      <name val="Times New Roman"/>
      <family val="1"/>
    </font>
    <font>
      <b/>
      <sz val="13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10"/>
      <name val="Times New Roman"/>
      <family val="1"/>
    </font>
    <font>
      <sz val="13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i/>
      <sz val="11"/>
      <name val=".VnTime"/>
      <family val="2"/>
    </font>
    <font>
      <b/>
      <sz val="13"/>
      <color indexed="8"/>
      <name val=".VnTime"/>
      <family val="2"/>
    </font>
    <font>
      <sz val="13"/>
      <color indexed="8"/>
      <name val=".VnTime"/>
      <family val="2"/>
    </font>
    <font>
      <i/>
      <sz val="13"/>
      <color indexed="8"/>
      <name val=".VnTime"/>
      <family val="2"/>
    </font>
    <font>
      <b/>
      <i/>
      <sz val="13"/>
      <color indexed="8"/>
      <name val=".VnTime"/>
      <family val="2"/>
    </font>
    <font>
      <i/>
      <sz val="11"/>
      <color indexed="8"/>
      <name val=".VnTime"/>
      <family val="2"/>
    </font>
    <font>
      <b/>
      <sz val="10"/>
      <color indexed="8"/>
      <name val=".VnTimeH"/>
      <family val="2"/>
    </font>
    <font>
      <vertAlign val="superscript"/>
      <sz val="12"/>
      <name val="Times New Roman"/>
      <family val="1"/>
    </font>
    <font>
      <b/>
      <sz val="10"/>
      <color indexed="8"/>
      <name val=".VnTime"/>
      <family val="2"/>
    </font>
    <font>
      <u val="single"/>
      <sz val="12"/>
      <color indexed="36"/>
      <name val="Times New Roman"/>
      <family val="1"/>
    </font>
    <font>
      <u val="single"/>
      <sz val="12"/>
      <color indexed="12"/>
      <name val="Times New Roman"/>
      <family val="1"/>
    </font>
    <font>
      <sz val="8"/>
      <name val="Times New Roman"/>
      <family val="1"/>
    </font>
    <font>
      <b/>
      <i/>
      <sz val="14"/>
      <name val="Times New Roman"/>
      <family val="1"/>
    </font>
    <font>
      <b/>
      <sz val="15"/>
      <name val="Times New Roman"/>
      <family val="1"/>
    </font>
    <font>
      <b/>
      <i/>
      <sz val="13"/>
      <name val="Times New Roman"/>
      <family val="1"/>
    </font>
    <font>
      <b/>
      <u val="single"/>
      <sz val="13"/>
      <name val="Times New Roman"/>
      <family val="1"/>
    </font>
    <font>
      <sz val="14"/>
      <name val=".VnTimeH"/>
      <family val="2"/>
    </font>
    <font>
      <sz val="12"/>
      <name val="¹UAAA¼"/>
      <family val="3"/>
    </font>
    <font>
      <sz val="13"/>
      <name val=".VnTime"/>
      <family val="2"/>
    </font>
    <font>
      <b/>
      <sz val="12"/>
      <name val="Arial"/>
      <family val="2"/>
    </font>
    <font>
      <i/>
      <sz val="10"/>
      <name val=".VnTime"/>
      <family val="2"/>
    </font>
    <font>
      <b/>
      <sz val="10"/>
      <name val=".VnArial"/>
      <family val="2"/>
    </font>
    <font>
      <b/>
      <sz val="10"/>
      <name val=".VnTime"/>
      <family val="2"/>
    </font>
    <font>
      <sz val="12"/>
      <name val="Arial"/>
      <family val="2"/>
    </font>
    <font>
      <sz val="10"/>
      <name val="VNtimes new roman"/>
      <family val="1"/>
    </font>
    <font>
      <b/>
      <sz val="10"/>
      <name val=".VnTimeH"/>
      <family val="2"/>
    </font>
    <font>
      <sz val="14"/>
      <name val=".VnArial"/>
      <family val="2"/>
    </font>
    <font>
      <sz val="14"/>
      <name val="뼻뮝"/>
      <family val="3"/>
    </font>
    <font>
      <sz val="12"/>
      <name val="바탕체"/>
      <family val="3"/>
    </font>
    <font>
      <sz val="12"/>
      <name val="뼻뮝"/>
      <family val="1"/>
    </font>
    <font>
      <sz val="9"/>
      <name val="Arial"/>
      <family val="2"/>
    </font>
    <font>
      <sz val="10"/>
      <name val="굴림체"/>
      <family val="3"/>
    </font>
    <font>
      <sz val="12"/>
      <name val="Courier"/>
      <family val="3"/>
    </font>
    <font>
      <sz val="10"/>
      <name val=" "/>
      <family val="1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5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1"/>
      <name val="Times New Roman"/>
      <family val="1"/>
    </font>
    <font>
      <b/>
      <i/>
      <sz val="12"/>
      <name val="Times New Roman"/>
      <family val="1"/>
    </font>
    <font>
      <sz val="10"/>
      <name val="Tahoma"/>
      <family val="2"/>
    </font>
    <font>
      <b/>
      <sz val="10"/>
      <name val="Tahoma"/>
      <family val="2"/>
    </font>
    <font>
      <b/>
      <sz val="14"/>
      <name val="Times New Roman"/>
      <family val="1"/>
    </font>
    <font>
      <i/>
      <sz val="14"/>
      <name val="Times New Roman"/>
      <family val="1"/>
    </font>
    <font>
      <i/>
      <vertAlign val="superscript"/>
      <sz val="12"/>
      <name val="Times New Roman"/>
      <family val="1"/>
    </font>
    <font>
      <b/>
      <sz val="18"/>
      <name val="Arial"/>
      <family val="2"/>
    </font>
    <font>
      <sz val="7"/>
      <name val="Small Fonts"/>
      <family val="2"/>
    </font>
    <font>
      <u val="single"/>
      <sz val="12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2"/>
      <name val="Tahoma"/>
      <family val="2"/>
    </font>
    <font>
      <sz val="11"/>
      <name val="Tahoma"/>
      <family val="2"/>
    </font>
    <font>
      <b/>
      <sz val="11"/>
      <name val="Tahoma"/>
      <family val="2"/>
    </font>
    <font>
      <i/>
      <sz val="13"/>
      <name val="Times New Roman"/>
      <family val="1"/>
    </font>
    <font>
      <sz val="10"/>
      <color indexed="12"/>
      <name val="Times New Roman"/>
      <family val="0"/>
    </font>
    <font>
      <sz val="10"/>
      <color indexed="10"/>
      <name val="Times New Roman"/>
      <family val="0"/>
    </font>
    <font>
      <sz val="14"/>
      <name val="Tahoma"/>
      <family val="2"/>
    </font>
    <font>
      <i/>
      <sz val="10"/>
      <name val="Times New Roman"/>
      <family val="1"/>
    </font>
    <font>
      <i/>
      <sz val="10"/>
      <color indexed="10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sz val="12"/>
      <color indexed="10"/>
      <name val="Times New Roman"/>
      <family val="1"/>
    </font>
    <font>
      <sz val="14"/>
      <name val="Times New Roman"/>
      <family val="1"/>
    </font>
    <font>
      <b/>
      <sz val="14"/>
      <name val=".VnTime"/>
      <family val="2"/>
    </font>
    <font>
      <sz val="14"/>
      <name val=".VnTim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hair"/>
      <bottom style="double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13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2" fillId="2" borderId="0" applyNumberFormat="0" applyBorder="0" applyAlignment="0" applyProtection="0"/>
    <xf numFmtId="0" fontId="92" fillId="3" borderId="0" applyNumberFormat="0" applyBorder="0" applyAlignment="0" applyProtection="0"/>
    <xf numFmtId="0" fontId="92" fillId="4" borderId="0" applyNumberFormat="0" applyBorder="0" applyAlignment="0" applyProtection="0"/>
    <xf numFmtId="0" fontId="92" fillId="5" borderId="0" applyNumberFormat="0" applyBorder="0" applyAlignment="0" applyProtection="0"/>
    <xf numFmtId="0" fontId="92" fillId="6" borderId="0" applyNumberFormat="0" applyBorder="0" applyAlignment="0" applyProtection="0"/>
    <xf numFmtId="0" fontId="92" fillId="7" borderId="0" applyNumberFormat="0" applyBorder="0" applyAlignment="0" applyProtection="0"/>
    <xf numFmtId="0" fontId="92" fillId="8" borderId="0" applyNumberFormat="0" applyBorder="0" applyAlignment="0" applyProtection="0"/>
    <xf numFmtId="0" fontId="92" fillId="9" borderId="0" applyNumberFormat="0" applyBorder="0" applyAlignment="0" applyProtection="0"/>
    <xf numFmtId="0" fontId="92" fillId="10" borderId="0" applyNumberFormat="0" applyBorder="0" applyAlignment="0" applyProtection="0"/>
    <xf numFmtId="0" fontId="92" fillId="5" borderId="0" applyNumberFormat="0" applyBorder="0" applyAlignment="0" applyProtection="0"/>
    <xf numFmtId="0" fontId="92" fillId="8" borderId="0" applyNumberFormat="0" applyBorder="0" applyAlignment="0" applyProtection="0"/>
    <xf numFmtId="0" fontId="92" fillId="11" borderId="0" applyNumberFormat="0" applyBorder="0" applyAlignment="0" applyProtection="0"/>
    <xf numFmtId="178" fontId="39" fillId="0" borderId="1" applyNumberFormat="0" applyFont="0" applyBorder="0" applyAlignment="0">
      <protection/>
    </xf>
    <xf numFmtId="0" fontId="93" fillId="12" borderId="0" applyNumberFormat="0" applyBorder="0" applyAlignment="0" applyProtection="0"/>
    <xf numFmtId="0" fontId="93" fillId="9" borderId="0" applyNumberFormat="0" applyBorder="0" applyAlignment="0" applyProtection="0"/>
    <xf numFmtId="0" fontId="93" fillId="10" borderId="0" applyNumberFormat="0" applyBorder="0" applyAlignment="0" applyProtection="0"/>
    <xf numFmtId="0" fontId="93" fillId="13" borderId="0" applyNumberFormat="0" applyBorder="0" applyAlignment="0" applyProtection="0"/>
    <xf numFmtId="0" fontId="93" fillId="14" borderId="0" applyNumberFormat="0" applyBorder="0" applyAlignment="0" applyProtection="0"/>
    <xf numFmtId="0" fontId="93" fillId="15" borderId="0" applyNumberFormat="0" applyBorder="0" applyAlignment="0" applyProtection="0"/>
    <xf numFmtId="0" fontId="93" fillId="16" borderId="0" applyNumberFormat="0" applyBorder="0" applyAlignment="0" applyProtection="0"/>
    <xf numFmtId="0" fontId="93" fillId="17" borderId="0" applyNumberFormat="0" applyBorder="0" applyAlignment="0" applyProtection="0"/>
    <xf numFmtId="0" fontId="93" fillId="18" borderId="0" applyNumberFormat="0" applyBorder="0" applyAlignment="0" applyProtection="0"/>
    <xf numFmtId="0" fontId="93" fillId="13" borderId="0" applyNumberFormat="0" applyBorder="0" applyAlignment="0" applyProtection="0"/>
    <xf numFmtId="0" fontId="93" fillId="14" borderId="0" applyNumberFormat="0" applyBorder="0" applyAlignment="0" applyProtection="0"/>
    <xf numFmtId="0" fontId="93" fillId="19" borderId="0" applyNumberFormat="0" applyBorder="0" applyAlignment="0" applyProtection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94" fillId="3" borderId="0" applyNumberFormat="0" applyBorder="0" applyAlignment="0" applyProtection="0"/>
    <xf numFmtId="0" fontId="40" fillId="0" borderId="0">
      <alignment/>
      <protection/>
    </xf>
    <xf numFmtId="0" fontId="40" fillId="0" borderId="0">
      <alignment/>
      <protection/>
    </xf>
    <xf numFmtId="0" fontId="95" fillId="20" borderId="2" applyNumberFormat="0" applyAlignment="0" applyProtection="0"/>
    <xf numFmtId="0" fontId="96" fillId="21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8" fontId="19" fillId="0" borderId="0">
      <alignment/>
      <protection/>
    </xf>
    <xf numFmtId="43" fontId="53" fillId="0" borderId="0" applyFont="0" applyFill="0" applyBorder="0" applyAlignment="0" applyProtection="0"/>
    <xf numFmtId="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9" fontId="0" fillId="0" borderId="0">
      <alignment/>
      <protection/>
    </xf>
    <xf numFmtId="0" fontId="0" fillId="0" borderId="0" applyFont="0" applyFill="0" applyBorder="0" applyAlignment="0" applyProtection="0"/>
    <xf numFmtId="190" fontId="0" fillId="0" borderId="0">
      <alignment/>
      <protection/>
    </xf>
    <xf numFmtId="0" fontId="97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98" fillId="4" borderId="0" applyNumberFormat="0" applyBorder="0" applyAlignment="0" applyProtection="0"/>
    <xf numFmtId="38" fontId="11" fillId="20" borderId="0" applyNumberFormat="0" applyBorder="0" applyAlignment="0" applyProtection="0"/>
    <xf numFmtId="0" fontId="42" fillId="0" borderId="4" applyNumberFormat="0" applyAlignment="0" applyProtection="0"/>
    <xf numFmtId="0" fontId="42" fillId="0" borderId="5">
      <alignment horizontal="left" vertical="center"/>
      <protection/>
    </xf>
    <xf numFmtId="0" fontId="72" fillId="0" borderId="6" applyNumberFormat="0" applyFill="0" applyAlignment="0" applyProtection="0"/>
    <xf numFmtId="0" fontId="73" fillId="0" borderId="7" applyNumberFormat="0" applyFill="0" applyAlignment="0" applyProtection="0"/>
    <xf numFmtId="0" fontId="74" fillId="0" borderId="8" applyNumberFormat="0" applyFill="0" applyAlignment="0" applyProtection="0"/>
    <xf numFmtId="0" fontId="74" fillId="0" borderId="0" applyNumberFormat="0" applyFill="0" applyBorder="0" applyAlignment="0" applyProtection="0"/>
    <xf numFmtId="0" fontId="69" fillId="0" borderId="0" applyProtection="0">
      <alignment/>
    </xf>
    <xf numFmtId="0" fontId="42" fillId="0" borderId="0" applyProtection="0">
      <alignment/>
    </xf>
    <xf numFmtId="0" fontId="33" fillId="0" borderId="0" applyNumberFormat="0" applyFill="0" applyBorder="0" applyAlignment="0" applyProtection="0"/>
    <xf numFmtId="0" fontId="99" fillId="7" borderId="2" applyNumberFormat="0" applyAlignment="0" applyProtection="0"/>
    <xf numFmtId="10" fontId="11" fillId="22" borderId="9" applyNumberFormat="0" applyBorder="0" applyAlignment="0" applyProtection="0"/>
    <xf numFmtId="0" fontId="100" fillId="0" borderId="10" applyNumberFormat="0" applyFill="0" applyAlignment="0" applyProtection="0"/>
    <xf numFmtId="3" fontId="43" fillId="0" borderId="11" applyNumberFormat="0" applyAlignment="0">
      <protection/>
    </xf>
    <xf numFmtId="3" fontId="44" fillId="0" borderId="11" applyNumberFormat="0" applyAlignment="0">
      <protection/>
    </xf>
    <xf numFmtId="3" fontId="45" fillId="0" borderId="11" applyNumberFormat="0" applyAlignment="0">
      <protection/>
    </xf>
    <xf numFmtId="191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6" fillId="0" borderId="0" applyNumberFormat="0" applyFont="0" applyFill="0" applyAlignment="0">
      <protection/>
    </xf>
    <xf numFmtId="0" fontId="101" fillId="23" borderId="0" applyNumberFormat="0" applyBorder="0" applyAlignment="0" applyProtection="0"/>
    <xf numFmtId="0" fontId="19" fillId="0" borderId="0">
      <alignment/>
      <protection/>
    </xf>
    <xf numFmtId="37" fontId="70" fillId="0" borderId="0">
      <alignment/>
      <protection/>
    </xf>
    <xf numFmtId="187" fontId="4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53" fillId="0" borderId="0">
      <alignment/>
      <protection/>
    </xf>
    <xf numFmtId="0" fontId="21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1" fillId="0" borderId="0">
      <alignment/>
      <protection/>
    </xf>
    <xf numFmtId="0" fontId="20" fillId="0" borderId="0">
      <alignment/>
      <protection/>
    </xf>
    <xf numFmtId="0" fontId="0" fillId="22" borderId="12" applyNumberFormat="0" applyFont="0" applyAlignment="0" applyProtection="0"/>
    <xf numFmtId="0" fontId="102" fillId="20" borderId="13" applyNumberFormat="0" applyAlignment="0" applyProtection="0"/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93" fontId="41" fillId="0" borderId="14">
      <alignment horizontal="right" vertical="center"/>
      <protection/>
    </xf>
    <xf numFmtId="194" fontId="41" fillId="0" borderId="14">
      <alignment horizontal="center"/>
      <protection/>
    </xf>
    <xf numFmtId="0" fontId="75" fillId="0" borderId="0" applyNumberFormat="0" applyFill="0" applyBorder="0" applyAlignment="0" applyProtection="0"/>
    <xf numFmtId="3" fontId="48" fillId="0" borderId="11" applyNumberFormat="0" applyAlignment="0">
      <protection/>
    </xf>
    <xf numFmtId="3" fontId="4" fillId="0" borderId="15" applyNumberFormat="0" applyAlignment="0">
      <protection/>
    </xf>
    <xf numFmtId="0" fontId="103" fillId="0" borderId="16" applyNumberFormat="0" applyFill="0" applyAlignment="0" applyProtection="0"/>
    <xf numFmtId="195" fontId="41" fillId="0" borderId="0">
      <alignment/>
      <protection/>
    </xf>
    <xf numFmtId="196" fontId="41" fillId="0" borderId="9">
      <alignment/>
      <protection/>
    </xf>
    <xf numFmtId="0" fontId="104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21" fillId="0" borderId="0">
      <alignment vertical="center"/>
      <protection/>
    </xf>
    <xf numFmtId="40" fontId="50" fillId="0" borderId="0" applyFont="0" applyFill="0" applyBorder="0" applyAlignment="0" applyProtection="0"/>
    <xf numFmtId="38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9" fontId="51" fillId="0" borderId="0" applyFont="0" applyFill="0" applyBorder="0" applyAlignment="0" applyProtection="0"/>
    <xf numFmtId="0" fontId="52" fillId="0" borderId="0">
      <alignment/>
      <protection/>
    </xf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1" fontId="51" fillId="0" borderId="0" applyFont="0" applyFill="0" applyBorder="0" applyAlignment="0" applyProtection="0"/>
    <xf numFmtId="180" fontId="51" fillId="0" borderId="0" applyFont="0" applyFill="0" applyBorder="0" applyAlignment="0" applyProtection="0"/>
    <xf numFmtId="0" fontId="54" fillId="0" borderId="0">
      <alignment/>
      <protection/>
    </xf>
    <xf numFmtId="0" fontId="46" fillId="0" borderId="0">
      <alignment/>
      <protection/>
    </xf>
    <xf numFmtId="172" fontId="53" fillId="0" borderId="0" applyFont="0" applyFill="0" applyBorder="0" applyAlignment="0" applyProtection="0"/>
    <xf numFmtId="173" fontId="53" fillId="0" borderId="0" applyFont="0" applyFill="0" applyBorder="0" applyAlignment="0" applyProtection="0"/>
    <xf numFmtId="185" fontId="53" fillId="0" borderId="0" applyFont="0" applyFill="0" applyBorder="0" applyAlignment="0" applyProtection="0"/>
    <xf numFmtId="165" fontId="55" fillId="0" borderId="0" applyFont="0" applyFill="0" applyBorder="0" applyAlignment="0" applyProtection="0"/>
    <xf numFmtId="186" fontId="53" fillId="0" borderId="0" applyFont="0" applyFill="0" applyBorder="0" applyAlignment="0" applyProtection="0"/>
  </cellStyleXfs>
  <cellXfs count="856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2" fillId="0" borderId="0" xfId="0" applyFont="1" applyAlignment="1">
      <alignment horizontal="right" vertical="center"/>
    </xf>
    <xf numFmtId="0" fontId="1" fillId="0" borderId="15" xfId="0" applyFont="1" applyBorder="1" applyAlignment="1">
      <alignment horizontal="center" vertical="center"/>
    </xf>
    <xf numFmtId="0" fontId="13" fillId="0" borderId="0" xfId="0" applyFont="1" applyAlignment="1">
      <alignment vertical="center"/>
    </xf>
    <xf numFmtId="174" fontId="1" fillId="0" borderId="15" xfId="49" applyNumberFormat="1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/>
    </xf>
    <xf numFmtId="0" fontId="14" fillId="0" borderId="15" xfId="0" applyFont="1" applyBorder="1" applyAlignment="1">
      <alignment vertical="center" wrapText="1"/>
    </xf>
    <xf numFmtId="175" fontId="14" fillId="0" borderId="15" xfId="49" applyNumberFormat="1" applyFont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13" fillId="0" borderId="15" xfId="0" applyFont="1" applyBorder="1" applyAlignment="1">
      <alignment horizontal="center" vertical="center"/>
    </xf>
    <xf numFmtId="0" fontId="13" fillId="0" borderId="15" xfId="0" applyFont="1" applyBorder="1" applyAlignment="1">
      <alignment vertical="center" wrapText="1"/>
    </xf>
    <xf numFmtId="175" fontId="1" fillId="0" borderId="15" xfId="49" applyNumberFormat="1" applyFont="1" applyBorder="1" applyAlignment="1">
      <alignment horizontal="center" vertical="center"/>
    </xf>
    <xf numFmtId="3" fontId="13" fillId="0" borderId="17" xfId="49" applyNumberFormat="1" applyFont="1" applyBorder="1" applyAlignment="1">
      <alignment horizontal="center" vertical="center"/>
    </xf>
    <xf numFmtId="3" fontId="1" fillId="0" borderId="15" xfId="49" applyNumberFormat="1" applyFont="1" applyBorder="1" applyAlignment="1">
      <alignment horizontal="center" vertical="center"/>
    </xf>
    <xf numFmtId="0" fontId="1" fillId="0" borderId="15" xfId="0" applyFont="1" applyBorder="1" applyAlignment="1">
      <alignment vertical="center"/>
    </xf>
    <xf numFmtId="0" fontId="1" fillId="0" borderId="0" xfId="0" applyFont="1" applyAlignment="1">
      <alignment vertical="center"/>
    </xf>
    <xf numFmtId="176" fontId="1" fillId="0" borderId="15" xfId="49" applyNumberFormat="1" applyFont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3" fontId="1" fillId="0" borderId="15" xfId="49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15" xfId="0" applyFont="1" applyBorder="1" applyAlignment="1" quotePrefix="1">
      <alignment vertical="center" wrapText="1"/>
    </xf>
    <xf numFmtId="0" fontId="1" fillId="0" borderId="0" xfId="0" applyFont="1" applyAlignment="1">
      <alignment horizontal="center" vertical="center"/>
    </xf>
    <xf numFmtId="3" fontId="14" fillId="0" borderId="15" xfId="49" applyNumberFormat="1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174" fontId="10" fillId="0" borderId="15" xfId="49" applyNumberFormat="1" applyFont="1" applyBorder="1" applyAlignment="1">
      <alignment horizontal="center" vertical="center" wrapText="1"/>
    </xf>
    <xf numFmtId="4" fontId="14" fillId="0" borderId="15" xfId="49" applyNumberFormat="1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1" fillId="0" borderId="18" xfId="0" applyFont="1" applyBorder="1" applyAlignment="1">
      <alignment vertical="center"/>
    </xf>
    <xf numFmtId="0" fontId="1" fillId="0" borderId="18" xfId="0" applyFont="1" applyBorder="1" applyAlignment="1">
      <alignment vertical="center" wrapText="1"/>
    </xf>
    <xf numFmtId="0" fontId="1" fillId="0" borderId="18" xfId="0" applyFont="1" applyBorder="1" applyAlignment="1">
      <alignment horizontal="center" vertical="center"/>
    </xf>
    <xf numFmtId="175" fontId="1" fillId="0" borderId="18" xfId="0" applyNumberFormat="1" applyFont="1" applyBorder="1" applyAlignment="1">
      <alignment horizontal="center" vertical="center"/>
    </xf>
    <xf numFmtId="0" fontId="19" fillId="0" borderId="0" xfId="0" applyFont="1" applyAlignment="1">
      <alignment vertical="center"/>
    </xf>
    <xf numFmtId="0" fontId="19" fillId="0" borderId="19" xfId="0" applyFont="1" applyBorder="1" applyAlignment="1">
      <alignment horizontal="center" vertical="center"/>
    </xf>
    <xf numFmtId="0" fontId="19" fillId="0" borderId="0" xfId="0" applyFont="1" applyFill="1" applyAlignment="1">
      <alignment vertical="center"/>
    </xf>
    <xf numFmtId="0" fontId="20" fillId="0" borderId="0" xfId="0" applyFont="1" applyAlignment="1">
      <alignment vertical="center"/>
    </xf>
    <xf numFmtId="0" fontId="20" fillId="0" borderId="20" xfId="0" applyFont="1" applyBorder="1" applyAlignment="1">
      <alignment vertical="center"/>
    </xf>
    <xf numFmtId="0" fontId="20" fillId="0" borderId="20" xfId="0" applyFont="1" applyFill="1" applyBorder="1" applyAlignment="1">
      <alignment vertical="center"/>
    </xf>
    <xf numFmtId="0" fontId="21" fillId="0" borderId="0" xfId="0" applyFont="1" applyAlignment="1">
      <alignment vertical="center"/>
    </xf>
    <xf numFmtId="0" fontId="21" fillId="0" borderId="21" xfId="0" applyFont="1" applyBorder="1" applyAlignment="1">
      <alignment horizontal="center" vertical="center" wrapText="1"/>
    </xf>
    <xf numFmtId="0" fontId="21" fillId="0" borderId="21" xfId="0" applyFont="1" applyBorder="1" applyAlignment="1">
      <alignment horizontal="left" vertical="center" wrapText="1"/>
    </xf>
    <xf numFmtId="0" fontId="21" fillId="0" borderId="21" xfId="0" applyFont="1" applyFill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left" vertical="center" wrapText="1"/>
    </xf>
    <xf numFmtId="0" fontId="21" fillId="0" borderId="15" xfId="0" applyFont="1" applyFill="1" applyBorder="1" applyAlignment="1">
      <alignment horizontal="center" vertical="center" wrapText="1"/>
    </xf>
    <xf numFmtId="177" fontId="21" fillId="0" borderId="15" xfId="0" applyNumberFormat="1" applyFont="1" applyBorder="1" applyAlignment="1">
      <alignment horizontal="center" vertical="center" wrapText="1"/>
    </xf>
    <xf numFmtId="3" fontId="21" fillId="0" borderId="15" xfId="0" applyNumberFormat="1" applyFont="1" applyBorder="1" applyAlignment="1">
      <alignment horizontal="center" vertical="center" wrapText="1"/>
    </xf>
    <xf numFmtId="0" fontId="21" fillId="24" borderId="15" xfId="0" applyFont="1" applyFill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21" fillId="0" borderId="9" xfId="0" applyFont="1" applyBorder="1" applyAlignment="1">
      <alignment horizontal="center" vertical="center" wrapText="1"/>
    </xf>
    <xf numFmtId="175" fontId="21" fillId="0" borderId="15" xfId="0" applyNumberFormat="1" applyFont="1" applyBorder="1" applyAlignment="1">
      <alignment horizontal="center" vertical="center" wrapText="1"/>
    </xf>
    <xf numFmtId="177" fontId="21" fillId="0" borderId="15" xfId="0" applyNumberFormat="1" applyFont="1" applyFill="1" applyBorder="1" applyAlignment="1">
      <alignment horizontal="center" vertical="center" wrapText="1"/>
    </xf>
    <xf numFmtId="0" fontId="21" fillId="0" borderId="15" xfId="0" applyFont="1" applyBorder="1" applyAlignment="1" quotePrefix="1">
      <alignment horizontal="center" vertical="center" wrapText="1"/>
    </xf>
    <xf numFmtId="3" fontId="1" fillId="0" borderId="0" xfId="0" applyNumberFormat="1" applyFont="1" applyAlignment="1">
      <alignment vertical="center"/>
    </xf>
    <xf numFmtId="0" fontId="1" fillId="0" borderId="22" xfId="0" applyFont="1" applyFill="1" applyBorder="1" applyAlignment="1">
      <alignment vertical="center"/>
    </xf>
    <xf numFmtId="4" fontId="21" fillId="0" borderId="15" xfId="0" applyNumberFormat="1" applyFont="1" applyFill="1" applyBorder="1" applyAlignment="1">
      <alignment horizontal="center" vertical="center" wrapText="1"/>
    </xf>
    <xf numFmtId="3" fontId="21" fillId="0" borderId="15" xfId="0" applyNumberFormat="1" applyFont="1" applyFill="1" applyBorder="1" applyAlignment="1">
      <alignment horizontal="center" vertical="center" wrapText="1"/>
    </xf>
    <xf numFmtId="2" fontId="21" fillId="0" borderId="15" xfId="0" applyNumberFormat="1" applyFont="1" applyFill="1" applyBorder="1" applyAlignment="1">
      <alignment horizontal="center" vertical="center" wrapText="1"/>
    </xf>
    <xf numFmtId="49" fontId="21" fillId="0" borderId="15" xfId="0" applyNumberFormat="1" applyFont="1" applyFill="1" applyBorder="1" applyAlignment="1">
      <alignment horizontal="center" vertical="center" wrapText="1"/>
    </xf>
    <xf numFmtId="175" fontId="21" fillId="0" borderId="15" xfId="0" applyNumberFormat="1" applyFont="1" applyFill="1" applyBorder="1" applyAlignment="1">
      <alignment horizontal="center" vertical="center" wrapText="1"/>
    </xf>
    <xf numFmtId="176" fontId="2" fillId="0" borderId="15" xfId="49" applyNumberFormat="1" applyFont="1" applyBorder="1" applyAlignment="1">
      <alignment horizontal="center" vertical="center"/>
    </xf>
    <xf numFmtId="176" fontId="2" fillId="0" borderId="15" xfId="49" applyNumberFormat="1" applyFont="1" applyFill="1" applyBorder="1" applyAlignment="1">
      <alignment horizontal="center" vertical="center"/>
    </xf>
    <xf numFmtId="176" fontId="13" fillId="0" borderId="15" xfId="49" applyNumberFormat="1" applyFont="1" applyBorder="1" applyAlignment="1">
      <alignment horizontal="center" vertical="center"/>
    </xf>
    <xf numFmtId="3" fontId="2" fillId="0" borderId="15" xfId="49" applyNumberFormat="1" applyFont="1" applyBorder="1" applyAlignment="1">
      <alignment horizontal="center" vertical="center"/>
    </xf>
    <xf numFmtId="176" fontId="1" fillId="0" borderId="15" xfId="49" applyNumberFormat="1" applyFont="1" applyFill="1" applyBorder="1" applyAlignment="1">
      <alignment horizontal="center" vertical="center"/>
    </xf>
    <xf numFmtId="0" fontId="14" fillId="0" borderId="15" xfId="0" applyFont="1" applyFill="1" applyBorder="1" applyAlignment="1" quotePrefix="1">
      <alignment vertical="center" wrapText="1"/>
    </xf>
    <xf numFmtId="0" fontId="14" fillId="0" borderId="22" xfId="0" applyFont="1" applyBorder="1" applyAlignment="1" quotePrefix="1">
      <alignment vertical="center" wrapText="1"/>
    </xf>
    <xf numFmtId="0" fontId="13" fillId="0" borderId="22" xfId="0" applyFont="1" applyFill="1" applyBorder="1" applyAlignment="1">
      <alignment horizontal="center" vertical="center"/>
    </xf>
    <xf numFmtId="0" fontId="13" fillId="0" borderId="22" xfId="0" applyFont="1" applyFill="1" applyBorder="1" applyAlignment="1">
      <alignment vertical="center" wrapText="1"/>
    </xf>
    <xf numFmtId="175" fontId="23" fillId="0" borderId="15" xfId="49" applyNumberFormat="1" applyFont="1" applyBorder="1" applyAlignment="1">
      <alignment horizontal="center" vertical="center"/>
    </xf>
    <xf numFmtId="3" fontId="2" fillId="0" borderId="15" xfId="49" applyNumberFormat="1" applyFont="1" applyFill="1" applyBorder="1" applyAlignment="1">
      <alignment horizontal="center" vertical="center"/>
    </xf>
    <xf numFmtId="9" fontId="1" fillId="0" borderId="18" xfId="99" applyFont="1" applyBorder="1" applyAlignment="1">
      <alignment horizontal="center" vertical="center"/>
    </xf>
    <xf numFmtId="10" fontId="1" fillId="0" borderId="0" xfId="99" applyNumberFormat="1" applyFont="1" applyAlignment="1">
      <alignment vertical="center"/>
    </xf>
    <xf numFmtId="0" fontId="24" fillId="0" borderId="15" xfId="0" applyFont="1" applyBorder="1" applyAlignment="1">
      <alignment horizontal="center" vertical="center"/>
    </xf>
    <xf numFmtId="0" fontId="25" fillId="0" borderId="15" xfId="0" applyFont="1" applyBorder="1" applyAlignment="1">
      <alignment horizontal="left" vertical="center" wrapText="1"/>
    </xf>
    <xf numFmtId="3" fontId="25" fillId="0" borderId="15" xfId="49" applyNumberFormat="1" applyFont="1" applyBorder="1" applyAlignment="1">
      <alignment horizontal="center" vertical="center"/>
    </xf>
    <xf numFmtId="176" fontId="24" fillId="0" borderId="15" xfId="49" applyNumberFormat="1" applyFont="1" applyBorder="1" applyAlignment="1">
      <alignment horizontal="center" vertical="center"/>
    </xf>
    <xf numFmtId="4" fontId="25" fillId="0" borderId="15" xfId="49" applyNumberFormat="1" applyFont="1" applyBorder="1" applyAlignment="1">
      <alignment horizontal="center" vertical="center"/>
    </xf>
    <xf numFmtId="0" fontId="25" fillId="0" borderId="15" xfId="0" applyFont="1" applyBorder="1" applyAlignment="1">
      <alignment horizontal="center" vertical="center"/>
    </xf>
    <xf numFmtId="0" fontId="24" fillId="0" borderId="0" xfId="0" applyFont="1" applyAlignment="1">
      <alignment vertical="center"/>
    </xf>
    <xf numFmtId="0" fontId="26" fillId="0" borderId="15" xfId="0" applyFont="1" applyBorder="1" applyAlignment="1" quotePrefix="1">
      <alignment horizontal="left" vertical="center" wrapText="1"/>
    </xf>
    <xf numFmtId="0" fontId="25" fillId="0" borderId="15" xfId="0" applyFont="1" applyBorder="1" applyAlignment="1" quotePrefix="1">
      <alignment horizontal="left" vertical="center" wrapText="1"/>
    </xf>
    <xf numFmtId="176" fontId="25" fillId="0" borderId="15" xfId="49" applyNumberFormat="1" applyFont="1" applyBorder="1" applyAlignment="1">
      <alignment horizontal="center" vertical="center"/>
    </xf>
    <xf numFmtId="0" fontId="25" fillId="0" borderId="0" xfId="0" applyFont="1" applyAlignment="1">
      <alignment vertical="center"/>
    </xf>
    <xf numFmtId="175" fontId="25" fillId="0" borderId="15" xfId="49" applyNumberFormat="1" applyFont="1" applyBorder="1" applyAlignment="1">
      <alignment horizontal="center" vertical="center"/>
    </xf>
    <xf numFmtId="0" fontId="2" fillId="0" borderId="15" xfId="0" applyFont="1" applyBorder="1" applyAlignment="1" quotePrefix="1">
      <alignment vertical="center" wrapText="1"/>
    </xf>
    <xf numFmtId="0" fontId="14" fillId="0" borderId="15" xfId="0" applyFont="1" applyBorder="1" applyAlignment="1">
      <alignment horizontal="left" vertical="center" wrapText="1"/>
    </xf>
    <xf numFmtId="176" fontId="14" fillId="0" borderId="15" xfId="49" applyNumberFormat="1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14" fillId="0" borderId="22" xfId="0" applyFont="1" applyBorder="1" applyAlignment="1">
      <alignment vertical="center"/>
    </xf>
    <xf numFmtId="176" fontId="14" fillId="0" borderId="15" xfId="49" applyNumberFormat="1" applyFont="1" applyFill="1" applyBorder="1" applyAlignment="1">
      <alignment horizontal="center" vertical="center"/>
    </xf>
    <xf numFmtId="177" fontId="21" fillId="24" borderId="15" xfId="0" applyNumberFormat="1" applyFont="1" applyFill="1" applyBorder="1" applyAlignment="1">
      <alignment horizontal="center" vertical="center" wrapText="1"/>
    </xf>
    <xf numFmtId="3" fontId="1" fillId="0" borderId="23" xfId="49" applyNumberFormat="1" applyFont="1" applyBorder="1" applyAlignment="1">
      <alignment horizontal="center" vertical="center"/>
    </xf>
    <xf numFmtId="176" fontId="2" fillId="0" borderId="24" xfId="49" applyNumberFormat="1" applyFont="1" applyFill="1" applyBorder="1" applyAlignment="1">
      <alignment horizontal="center" vertical="center"/>
    </xf>
    <xf numFmtId="175" fontId="25" fillId="0" borderId="23" xfId="49" applyNumberFormat="1" applyFont="1" applyBorder="1" applyAlignment="1">
      <alignment horizontal="center" vertical="center"/>
    </xf>
    <xf numFmtId="176" fontId="25" fillId="0" borderId="23" xfId="49" applyNumberFormat="1" applyFont="1" applyBorder="1" applyAlignment="1">
      <alignment horizontal="center" vertical="center"/>
    </xf>
    <xf numFmtId="176" fontId="2" fillId="0" borderId="23" xfId="49" applyNumberFormat="1" applyFont="1" applyFill="1" applyBorder="1" applyAlignment="1">
      <alignment horizontal="center" vertical="center"/>
    </xf>
    <xf numFmtId="4" fontId="25" fillId="0" borderId="23" xfId="49" applyNumberFormat="1" applyFont="1" applyBorder="1" applyAlignment="1">
      <alignment horizontal="center" vertical="center"/>
    </xf>
    <xf numFmtId="175" fontId="2" fillId="0" borderId="23" xfId="49" applyNumberFormat="1" applyFont="1" applyBorder="1" applyAlignment="1">
      <alignment horizontal="center" vertical="center"/>
    </xf>
    <xf numFmtId="4" fontId="14" fillId="0" borderId="23" xfId="49" applyNumberFormat="1" applyFont="1" applyBorder="1" applyAlignment="1">
      <alignment horizontal="center" vertical="center"/>
    </xf>
    <xf numFmtId="3" fontId="14" fillId="0" borderId="23" xfId="49" applyNumberFormat="1" applyFont="1" applyBorder="1" applyAlignment="1">
      <alignment horizontal="center" vertical="center"/>
    </xf>
    <xf numFmtId="175" fontId="1" fillId="0" borderId="23" xfId="49" applyNumberFormat="1" applyFont="1" applyBorder="1" applyAlignment="1">
      <alignment horizontal="center" vertical="center"/>
    </xf>
    <xf numFmtId="176" fontId="1" fillId="0" borderId="23" xfId="49" applyNumberFormat="1" applyFont="1" applyBorder="1" applyAlignment="1">
      <alignment horizontal="center" vertical="center"/>
    </xf>
    <xf numFmtId="175" fontId="14" fillId="0" borderId="23" xfId="49" applyNumberFormat="1" applyFont="1" applyBorder="1" applyAlignment="1">
      <alignment horizontal="center" vertical="center"/>
    </xf>
    <xf numFmtId="175" fontId="1" fillId="0" borderId="25" xfId="0" applyNumberFormat="1" applyFont="1" applyBorder="1" applyAlignment="1">
      <alignment horizontal="center" vertical="center"/>
    </xf>
    <xf numFmtId="176" fontId="27" fillId="0" borderId="23" xfId="49" applyNumberFormat="1" applyFont="1" applyBorder="1" applyAlignment="1">
      <alignment horizontal="center" vertical="center"/>
    </xf>
    <xf numFmtId="174" fontId="28" fillId="0" borderId="15" xfId="49" applyNumberFormat="1" applyFont="1" applyBorder="1" applyAlignment="1">
      <alignment horizontal="center" vertical="center" wrapText="1"/>
    </xf>
    <xf numFmtId="179" fontId="21" fillId="0" borderId="0" xfId="0" applyNumberFormat="1" applyFont="1" applyAlignment="1">
      <alignment vertical="center"/>
    </xf>
    <xf numFmtId="1" fontId="21" fillId="0" borderId="15" xfId="0" applyNumberFormat="1" applyFont="1" applyBorder="1" applyAlignment="1">
      <alignment horizontal="center" vertical="center" wrapText="1"/>
    </xf>
    <xf numFmtId="49" fontId="21" fillId="0" borderId="15" xfId="0" applyNumberFormat="1" applyFont="1" applyBorder="1" applyAlignment="1">
      <alignment horizontal="center" vertical="center" wrapText="1"/>
    </xf>
    <xf numFmtId="177" fontId="21" fillId="0" borderId="21" xfId="0" applyNumberFormat="1" applyFont="1" applyBorder="1" applyAlignment="1">
      <alignment horizontal="center" vertical="center" wrapText="1"/>
    </xf>
    <xf numFmtId="176" fontId="1" fillId="0" borderId="0" xfId="0" applyNumberFormat="1" applyFont="1" applyAlignment="1">
      <alignment vertical="center"/>
    </xf>
    <xf numFmtId="10" fontId="25" fillId="0" borderId="0" xfId="0" applyNumberFormat="1" applyFont="1" applyAlignment="1">
      <alignment vertical="center"/>
    </xf>
    <xf numFmtId="3" fontId="13" fillId="0" borderId="21" xfId="49" applyNumberFormat="1" applyFont="1" applyBorder="1" applyAlignment="1">
      <alignment horizontal="center" vertical="center"/>
    </xf>
    <xf numFmtId="175" fontId="23" fillId="0" borderId="23" xfId="49" applyNumberFormat="1" applyFont="1" applyBorder="1" applyAlignment="1">
      <alignment horizontal="center" vertical="center"/>
    </xf>
    <xf numFmtId="4" fontId="21" fillId="0" borderId="15" xfId="0" applyNumberFormat="1" applyFont="1" applyBorder="1" applyAlignment="1">
      <alignment horizontal="center" vertical="center" wrapText="1"/>
    </xf>
    <xf numFmtId="0" fontId="31" fillId="0" borderId="0" xfId="0" applyFont="1" applyAlignment="1">
      <alignment vertical="center" wrapText="1"/>
    </xf>
    <xf numFmtId="3" fontId="1" fillId="0" borderId="17" xfId="49" applyNumberFormat="1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0" fillId="0" borderId="9" xfId="0" applyBorder="1" applyAlignment="1">
      <alignment/>
    </xf>
    <xf numFmtId="0" fontId="98" fillId="4" borderId="9" xfId="64" applyBorder="1" applyAlignment="1">
      <alignment/>
    </xf>
    <xf numFmtId="0" fontId="94" fillId="3" borderId="9" xfId="44" applyBorder="1" applyAlignment="1">
      <alignment/>
    </xf>
    <xf numFmtId="0" fontId="10" fillId="0" borderId="9" xfId="0" applyFont="1" applyBorder="1" applyAlignment="1">
      <alignment vertical="center" wrapText="1"/>
    </xf>
    <xf numFmtId="0" fontId="5" fillId="0" borderId="9" xfId="0" applyFont="1" applyBorder="1" applyAlignment="1">
      <alignment vertical="center" wrapText="1"/>
    </xf>
    <xf numFmtId="9" fontId="0" fillId="0" borderId="9" xfId="0" applyNumberFormat="1" applyBorder="1" applyAlignment="1">
      <alignment/>
    </xf>
    <xf numFmtId="4" fontId="7" fillId="0" borderId="9" xfId="49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101" fillId="23" borderId="0" xfId="84" applyAlignment="1">
      <alignment/>
    </xf>
    <xf numFmtId="0" fontId="57" fillId="0" borderId="0" xfId="0" applyFont="1" applyAlignment="1">
      <alignment/>
    </xf>
    <xf numFmtId="0" fontId="58" fillId="0" borderId="0" xfId="0" applyFont="1" applyAlignment="1">
      <alignment/>
    </xf>
    <xf numFmtId="177" fontId="58" fillId="0" borderId="0" xfId="0" applyNumberFormat="1" applyFont="1" applyAlignment="1">
      <alignment/>
    </xf>
    <xf numFmtId="177" fontId="0" fillId="0" borderId="0" xfId="0" applyNumberFormat="1" applyAlignment="1">
      <alignment/>
    </xf>
    <xf numFmtId="0" fontId="16" fillId="0" borderId="0" xfId="93" applyFont="1" applyFill="1" applyBorder="1" applyAlignment="1">
      <alignment horizontal="center" vertical="center" wrapText="1"/>
      <protection/>
    </xf>
    <xf numFmtId="0" fontId="36" fillId="0" borderId="0" xfId="93" applyFont="1" applyFill="1" applyBorder="1" applyAlignment="1">
      <alignment horizontal="center" vertical="center" wrapText="1"/>
      <protection/>
    </xf>
    <xf numFmtId="0" fontId="16" fillId="0" borderId="9" xfId="93" applyFont="1" applyFill="1" applyBorder="1" applyAlignment="1">
      <alignment horizontal="center" vertical="center" wrapText="1"/>
      <protection/>
    </xf>
    <xf numFmtId="0" fontId="16" fillId="0" borderId="17" xfId="93" applyFont="1" applyFill="1" applyBorder="1" applyAlignment="1">
      <alignment vertical="center" wrapText="1"/>
      <protection/>
    </xf>
    <xf numFmtId="3" fontId="20" fillId="0" borderId="17" xfId="93" applyNumberFormat="1" applyFont="1" applyFill="1" applyBorder="1" applyAlignment="1">
      <alignment horizontal="center" vertical="center" wrapText="1"/>
      <protection/>
    </xf>
    <xf numFmtId="0" fontId="20" fillId="0" borderId="17" xfId="93" applyFont="1" applyFill="1" applyBorder="1" applyAlignment="1">
      <alignment horizontal="center" vertical="center" wrapText="1"/>
      <protection/>
    </xf>
    <xf numFmtId="3" fontId="20" fillId="0" borderId="17" xfId="93" applyNumberFormat="1" applyFont="1" applyFill="1" applyBorder="1" applyAlignment="1">
      <alignment horizontal="center" vertical="center"/>
      <protection/>
    </xf>
    <xf numFmtId="0" fontId="16" fillId="0" borderId="0" xfId="93" applyFont="1" applyFill="1" applyAlignment="1">
      <alignment vertical="center"/>
      <protection/>
    </xf>
    <xf numFmtId="3" fontId="20" fillId="0" borderId="15" xfId="93" applyNumberFormat="1" applyFont="1" applyFill="1" applyBorder="1" applyAlignment="1">
      <alignment horizontal="center" vertical="center" wrapText="1"/>
      <protection/>
    </xf>
    <xf numFmtId="0" fontId="16" fillId="0" borderId="15" xfId="93" applyFont="1" applyFill="1" applyBorder="1" applyAlignment="1">
      <alignment vertical="center" wrapText="1"/>
      <protection/>
    </xf>
    <xf numFmtId="0" fontId="16" fillId="0" borderId="15" xfId="93" applyFont="1" applyFill="1" applyBorder="1" applyAlignment="1">
      <alignment horizontal="center" vertical="center" wrapText="1"/>
      <protection/>
    </xf>
    <xf numFmtId="3" fontId="20" fillId="0" borderId="15" xfId="93" applyNumberFormat="1" applyFont="1" applyFill="1" applyBorder="1" applyAlignment="1">
      <alignment horizontal="center" vertical="center"/>
      <protection/>
    </xf>
    <xf numFmtId="0" fontId="38" fillId="0" borderId="15" xfId="93" applyFont="1" applyFill="1" applyBorder="1" applyAlignment="1">
      <alignment vertical="center" wrapText="1"/>
      <protection/>
    </xf>
    <xf numFmtId="0" fontId="38" fillId="0" borderId="15" xfId="93" applyFont="1" applyFill="1" applyBorder="1" applyAlignment="1">
      <alignment horizontal="center" vertical="center" wrapText="1"/>
      <protection/>
    </xf>
    <xf numFmtId="0" fontId="20" fillId="0" borderId="0" xfId="93" applyFont="1" applyFill="1">
      <alignment/>
      <protection/>
    </xf>
    <xf numFmtId="0" fontId="20" fillId="0" borderId="9" xfId="93" applyFont="1" applyFill="1" applyBorder="1" applyAlignment="1">
      <alignment horizontal="center" vertical="center" wrapText="1"/>
      <protection/>
    </xf>
    <xf numFmtId="0" fontId="20" fillId="0" borderId="15" xfId="93" applyFont="1" applyFill="1" applyBorder="1" applyAlignment="1">
      <alignment vertical="center" wrapText="1"/>
      <protection/>
    </xf>
    <xf numFmtId="0" fontId="20" fillId="0" borderId="15" xfId="93" applyFont="1" applyFill="1" applyBorder="1" applyAlignment="1">
      <alignment horizontal="center" vertical="center" wrapText="1"/>
      <protection/>
    </xf>
    <xf numFmtId="0" fontId="20" fillId="0" borderId="0" xfId="93" applyFont="1" applyFill="1" applyAlignment="1">
      <alignment vertical="center"/>
      <protection/>
    </xf>
    <xf numFmtId="3" fontId="59" fillId="0" borderId="15" xfId="93" applyNumberFormat="1" applyFont="1" applyFill="1" applyBorder="1" applyAlignment="1">
      <alignment horizontal="center" vertical="center"/>
      <protection/>
    </xf>
    <xf numFmtId="3" fontId="16" fillId="0" borderId="15" xfId="93" applyNumberFormat="1" applyFont="1" applyFill="1" applyBorder="1" applyAlignment="1">
      <alignment horizontal="center" vertical="center"/>
      <protection/>
    </xf>
    <xf numFmtId="0" fontId="20" fillId="0" borderId="18" xfId="93" applyFont="1" applyFill="1" applyBorder="1">
      <alignment/>
      <protection/>
    </xf>
    <xf numFmtId="0" fontId="6" fillId="0" borderId="9" xfId="0" applyFont="1" applyFill="1" applyBorder="1" applyAlignment="1">
      <alignment horizontal="center" vertical="center" wrapText="1"/>
    </xf>
    <xf numFmtId="0" fontId="20" fillId="23" borderId="26" xfId="93" applyFont="1" applyFill="1" applyBorder="1" applyAlignment="1">
      <alignment horizontal="center" vertical="center" wrapText="1"/>
      <protection/>
    </xf>
    <xf numFmtId="0" fontId="16" fillId="23" borderId="26" xfId="93" applyFont="1" applyFill="1" applyBorder="1" applyAlignment="1">
      <alignment horizontal="center" vertical="center" wrapText="1"/>
      <protection/>
    </xf>
    <xf numFmtId="0" fontId="6" fillId="23" borderId="26" xfId="0" applyFont="1" applyFill="1" applyBorder="1" applyAlignment="1">
      <alignment horizontal="center" vertical="center" wrapText="1"/>
    </xf>
    <xf numFmtId="0" fontId="20" fillId="23" borderId="0" xfId="93" applyFont="1" applyFill="1">
      <alignment/>
      <protection/>
    </xf>
    <xf numFmtId="0" fontId="38" fillId="0" borderId="18" xfId="93" applyFont="1" applyFill="1" applyBorder="1" applyAlignment="1">
      <alignment vertical="center" wrapText="1"/>
      <protection/>
    </xf>
    <xf numFmtId="3" fontId="20" fillId="0" borderId="18" xfId="93" applyNumberFormat="1" applyFont="1" applyFill="1" applyBorder="1" applyAlignment="1">
      <alignment horizontal="center" vertical="center"/>
      <protection/>
    </xf>
    <xf numFmtId="0" fontId="16" fillId="0" borderId="18" xfId="93" applyFont="1" applyFill="1" applyBorder="1" applyAlignment="1">
      <alignment horizontal="center" vertical="center" wrapText="1"/>
      <protection/>
    </xf>
    <xf numFmtId="3" fontId="16" fillId="0" borderId="18" xfId="93" applyNumberFormat="1" applyFont="1" applyFill="1" applyBorder="1" applyAlignment="1">
      <alignment horizontal="center" vertical="center"/>
      <protection/>
    </xf>
    <xf numFmtId="0" fontId="16" fillId="23" borderId="0" xfId="93" applyFont="1" applyFill="1">
      <alignment/>
      <protection/>
    </xf>
    <xf numFmtId="0" fontId="35" fillId="0" borderId="0" xfId="93" applyFont="1" applyFill="1" applyAlignment="1">
      <alignment horizontal="right" vertical="center"/>
      <protection/>
    </xf>
    <xf numFmtId="3" fontId="20" fillId="0" borderId="23" xfId="93" applyNumberFormat="1" applyFont="1" applyFill="1" applyBorder="1" applyAlignment="1">
      <alignment horizontal="center" vertical="center" wrapText="1"/>
      <protection/>
    </xf>
    <xf numFmtId="3" fontId="20" fillId="0" borderId="23" xfId="93" applyNumberFormat="1" applyFont="1" applyFill="1" applyBorder="1" applyAlignment="1">
      <alignment horizontal="center" vertical="center"/>
      <protection/>
    </xf>
    <xf numFmtId="0" fontId="16" fillId="23" borderId="11" xfId="93" applyFont="1" applyFill="1" applyBorder="1" applyAlignment="1">
      <alignment horizontal="center" vertical="center" wrapText="1"/>
      <protection/>
    </xf>
    <xf numFmtId="3" fontId="20" fillId="0" borderId="27" xfId="93" applyNumberFormat="1" applyFont="1" applyFill="1" applyBorder="1" applyAlignment="1">
      <alignment horizontal="center" vertical="center" wrapText="1"/>
      <protection/>
    </xf>
    <xf numFmtId="0" fontId="20" fillId="0" borderId="27" xfId="93" applyFont="1" applyFill="1" applyBorder="1" applyAlignment="1">
      <alignment horizontal="center" vertical="center" wrapText="1"/>
      <protection/>
    </xf>
    <xf numFmtId="3" fontId="20" fillId="0" borderId="27" xfId="93" applyNumberFormat="1" applyFont="1" applyFill="1" applyBorder="1" applyAlignment="1">
      <alignment horizontal="center" vertical="center"/>
      <protection/>
    </xf>
    <xf numFmtId="3" fontId="20" fillId="0" borderId="28" xfId="93" applyNumberFormat="1" applyFont="1" applyFill="1" applyBorder="1" applyAlignment="1">
      <alignment horizontal="center" vertical="center" wrapText="1"/>
      <protection/>
    </xf>
    <xf numFmtId="3" fontId="20" fillId="0" borderId="29" xfId="93" applyNumberFormat="1" applyFont="1" applyFill="1" applyBorder="1" applyAlignment="1">
      <alignment horizontal="center" vertical="center" wrapText="1"/>
      <protection/>
    </xf>
    <xf numFmtId="3" fontId="20" fillId="0" borderId="29" xfId="93" applyNumberFormat="1" applyFont="1" applyFill="1" applyBorder="1" applyAlignment="1">
      <alignment horizontal="center" vertical="center"/>
      <protection/>
    </xf>
    <xf numFmtId="3" fontId="20" fillId="0" borderId="30" xfId="93" applyNumberFormat="1" applyFont="1" applyFill="1" applyBorder="1" applyAlignment="1">
      <alignment horizontal="center" vertical="center"/>
      <protection/>
    </xf>
    <xf numFmtId="3" fontId="20" fillId="0" borderId="28" xfId="93" applyNumberFormat="1" applyFont="1" applyFill="1" applyBorder="1" applyAlignment="1">
      <alignment horizontal="center" vertical="center"/>
      <protection/>
    </xf>
    <xf numFmtId="0" fontId="6" fillId="23" borderId="11" xfId="0" applyFont="1" applyFill="1" applyBorder="1" applyAlignment="1">
      <alignment horizontal="center" vertical="center" wrapText="1"/>
    </xf>
    <xf numFmtId="3" fontId="20" fillId="0" borderId="31" xfId="93" applyNumberFormat="1" applyFont="1" applyFill="1" applyBorder="1" applyAlignment="1">
      <alignment horizontal="center" vertical="center"/>
      <protection/>
    </xf>
    <xf numFmtId="0" fontId="16" fillId="0" borderId="28" xfId="93" applyFont="1" applyFill="1" applyBorder="1" applyAlignment="1">
      <alignment horizontal="center" vertical="center"/>
      <protection/>
    </xf>
    <xf numFmtId="0" fontId="16" fillId="0" borderId="29" xfId="93" applyFont="1" applyFill="1" applyBorder="1" applyAlignment="1">
      <alignment horizontal="center" vertical="center"/>
      <protection/>
    </xf>
    <xf numFmtId="3" fontId="20" fillId="0" borderId="23" xfId="93" applyNumberFormat="1" applyFont="1" applyFill="1" applyBorder="1" applyAlignment="1">
      <alignment vertical="center"/>
      <protection/>
    </xf>
    <xf numFmtId="3" fontId="20" fillId="0" borderId="30" xfId="93" applyNumberFormat="1" applyFont="1" applyFill="1" applyBorder="1" applyAlignment="1">
      <alignment horizontal="center" vertical="center" wrapText="1"/>
      <protection/>
    </xf>
    <xf numFmtId="0" fontId="16" fillId="0" borderId="30" xfId="93" applyFont="1" applyFill="1" applyBorder="1" applyAlignment="1">
      <alignment horizontal="center" vertical="center"/>
      <protection/>
    </xf>
    <xf numFmtId="0" fontId="35" fillId="0" borderId="0" xfId="93" applyFont="1" applyFill="1" applyAlignment="1">
      <alignment vertical="center"/>
      <protection/>
    </xf>
    <xf numFmtId="3" fontId="20" fillId="0" borderId="32" xfId="93" applyNumberFormat="1" applyFont="1" applyFill="1" applyBorder="1" applyAlignment="1">
      <alignment horizontal="right" vertical="center"/>
      <protection/>
    </xf>
    <xf numFmtId="3" fontId="20" fillId="0" borderId="27" xfId="93" applyNumberFormat="1" applyFont="1" applyFill="1" applyBorder="1" applyAlignment="1">
      <alignment horizontal="right" vertical="center"/>
      <protection/>
    </xf>
    <xf numFmtId="3" fontId="20" fillId="0" borderId="32" xfId="93" applyNumberFormat="1" applyFont="1" applyFill="1" applyBorder="1" applyAlignment="1">
      <alignment horizontal="right" vertical="center" wrapText="1"/>
      <protection/>
    </xf>
    <xf numFmtId="3" fontId="20" fillId="0" borderId="27" xfId="93" applyNumberFormat="1" applyFont="1" applyFill="1" applyBorder="1" applyAlignment="1">
      <alignment horizontal="right" vertical="center" wrapText="1"/>
      <protection/>
    </xf>
    <xf numFmtId="3" fontId="20" fillId="0" borderId="33" xfId="93" applyNumberFormat="1" applyFont="1" applyFill="1" applyBorder="1" applyAlignment="1">
      <alignment horizontal="left" vertical="center" wrapText="1"/>
      <protection/>
    </xf>
    <xf numFmtId="3" fontId="20" fillId="0" borderId="23" xfId="93" applyNumberFormat="1" applyFont="1" applyFill="1" applyBorder="1" applyAlignment="1">
      <alignment horizontal="left" vertical="center" wrapText="1"/>
      <protection/>
    </xf>
    <xf numFmtId="3" fontId="20" fillId="0" borderId="33" xfId="93" applyNumberFormat="1" applyFont="1" applyFill="1" applyBorder="1" applyAlignment="1">
      <alignment horizontal="left" vertical="center"/>
      <protection/>
    </xf>
    <xf numFmtId="3" fontId="20" fillId="0" borderId="23" xfId="93" applyNumberFormat="1" applyFont="1" applyFill="1" applyBorder="1" applyAlignment="1">
      <alignment horizontal="left" vertical="center"/>
      <protection/>
    </xf>
    <xf numFmtId="3" fontId="20" fillId="0" borderId="25" xfId="93" applyNumberFormat="1" applyFont="1" applyFill="1" applyBorder="1" applyAlignment="1">
      <alignment horizontal="left" vertical="center"/>
      <protection/>
    </xf>
    <xf numFmtId="3" fontId="20" fillId="0" borderId="25" xfId="93" applyNumberFormat="1" applyFont="1" applyFill="1" applyBorder="1" applyAlignment="1">
      <alignment horizontal="left" vertical="center" wrapText="1"/>
      <protection/>
    </xf>
    <xf numFmtId="3" fontId="20" fillId="0" borderId="34" xfId="93" applyNumberFormat="1" applyFont="1" applyFill="1" applyBorder="1" applyAlignment="1">
      <alignment horizontal="right" vertical="center" wrapText="1"/>
      <protection/>
    </xf>
    <xf numFmtId="3" fontId="20" fillId="0" borderId="34" xfId="93" applyNumberFormat="1" applyFont="1" applyFill="1" applyBorder="1" applyAlignment="1">
      <alignment horizontal="right" vertical="center"/>
      <protection/>
    </xf>
    <xf numFmtId="0" fontId="66" fillId="24" borderId="0" xfId="89" applyFont="1" applyFill="1" applyAlignment="1">
      <alignment vertical="center" wrapText="1"/>
      <protection/>
    </xf>
    <xf numFmtId="0" fontId="21" fillId="24" borderId="0" xfId="89" applyFont="1" applyFill="1" applyAlignment="1">
      <alignment vertical="center" wrapText="1"/>
      <protection/>
    </xf>
    <xf numFmtId="0" fontId="21" fillId="24" borderId="0" xfId="89" applyFont="1" applyFill="1" applyAlignment="1">
      <alignment horizontal="center" vertical="center" wrapText="1"/>
      <protection/>
    </xf>
    <xf numFmtId="0" fontId="21" fillId="24" borderId="0" xfId="89" applyFont="1" applyFill="1" applyBorder="1" applyAlignment="1">
      <alignment vertical="center" wrapText="1"/>
      <protection/>
    </xf>
    <xf numFmtId="0" fontId="60" fillId="24" borderId="0" xfId="89" applyNumberFormat="1" applyFont="1" applyFill="1" applyBorder="1" applyAlignment="1">
      <alignment horizontal="right" vertical="center" wrapText="1"/>
      <protection/>
    </xf>
    <xf numFmtId="0" fontId="61" fillId="24" borderId="9" xfId="89" applyFont="1" applyFill="1" applyBorder="1" applyAlignment="1">
      <alignment horizontal="center" vertical="center" wrapText="1"/>
      <protection/>
    </xf>
    <xf numFmtId="0" fontId="61" fillId="24" borderId="9" xfId="89" applyNumberFormat="1" applyFont="1" applyFill="1" applyBorder="1" applyAlignment="1">
      <alignment horizontal="center" vertical="center" wrapText="1"/>
      <protection/>
    </xf>
    <xf numFmtId="0" fontId="61" fillId="24" borderId="0" xfId="89" applyFont="1" applyFill="1" applyAlignment="1">
      <alignment vertical="center" wrapText="1"/>
      <protection/>
    </xf>
    <xf numFmtId="0" fontId="61" fillId="24" borderId="21" xfId="89" applyFont="1" applyFill="1" applyBorder="1" applyAlignment="1">
      <alignment horizontal="center" vertical="center" wrapText="1"/>
      <protection/>
    </xf>
    <xf numFmtId="0" fontId="61" fillId="24" borderId="21" xfId="89" applyFont="1" applyFill="1" applyBorder="1" applyAlignment="1">
      <alignment vertical="center" wrapText="1"/>
      <protection/>
    </xf>
    <xf numFmtId="3" fontId="61" fillId="24" borderId="21" xfId="89" applyNumberFormat="1" applyFont="1" applyFill="1" applyBorder="1" applyAlignment="1">
      <alignment vertical="center" wrapText="1"/>
      <protection/>
    </xf>
    <xf numFmtId="0" fontId="21" fillId="24" borderId="15" xfId="89" applyFont="1" applyFill="1" applyBorder="1" applyAlignment="1">
      <alignment horizontal="center" vertical="center" wrapText="1"/>
      <protection/>
    </xf>
    <xf numFmtId="175" fontId="21" fillId="24" borderId="0" xfId="89" applyNumberFormat="1" applyFont="1" applyFill="1" applyAlignment="1">
      <alignment horizontal="left" vertical="center" wrapText="1"/>
      <protection/>
    </xf>
    <xf numFmtId="0" fontId="21" fillId="24" borderId="0" xfId="89" applyFont="1" applyFill="1" applyAlignment="1">
      <alignment horizontal="right" vertical="center" wrapText="1"/>
      <protection/>
    </xf>
    <xf numFmtId="0" fontId="21" fillId="24" borderId="0" xfId="89" applyFont="1" applyFill="1" applyAlignment="1">
      <alignment horizontal="left" vertical="center" wrapText="1"/>
      <protection/>
    </xf>
    <xf numFmtId="0" fontId="60" fillId="24" borderId="15" xfId="89" applyFont="1" applyFill="1" applyBorder="1" applyAlignment="1">
      <alignment horizontal="center" vertical="center" wrapText="1"/>
      <protection/>
    </xf>
    <xf numFmtId="0" fontId="60" fillId="24" borderId="0" xfId="89" applyFont="1" applyFill="1" applyAlignment="1">
      <alignment horizontal="left" vertical="center" wrapText="1"/>
      <protection/>
    </xf>
    <xf numFmtId="0" fontId="60" fillId="24" borderId="0" xfId="89" applyFont="1" applyFill="1" applyAlignment="1">
      <alignment horizontal="right" vertical="center" wrapText="1"/>
      <protection/>
    </xf>
    <xf numFmtId="0" fontId="60" fillId="24" borderId="0" xfId="89" applyFont="1" applyFill="1" applyAlignment="1">
      <alignment vertical="center" wrapText="1"/>
      <protection/>
    </xf>
    <xf numFmtId="0" fontId="9" fillId="24" borderId="15" xfId="89" applyFont="1" applyFill="1" applyBorder="1" applyAlignment="1">
      <alignment horizontal="center" vertical="center" wrapText="1"/>
      <protection/>
    </xf>
    <xf numFmtId="0" fontId="9" fillId="24" borderId="27" xfId="89" applyFont="1" applyFill="1" applyBorder="1" applyAlignment="1">
      <alignment horizontal="center" vertical="center" wrapText="1"/>
      <protection/>
    </xf>
    <xf numFmtId="0" fontId="9" fillId="24" borderId="23" xfId="89" applyNumberFormat="1" applyFont="1" applyFill="1" applyBorder="1" applyAlignment="1">
      <alignment vertical="center" wrapText="1"/>
      <protection/>
    </xf>
    <xf numFmtId="1" fontId="9" fillId="24" borderId="15" xfId="89" applyNumberFormat="1" applyFont="1" applyFill="1" applyBorder="1" applyAlignment="1">
      <alignment horizontal="right" vertical="center" wrapText="1"/>
      <protection/>
    </xf>
    <xf numFmtId="0" fontId="62" fillId="24" borderId="15" xfId="89" applyFont="1" applyFill="1" applyBorder="1" applyAlignment="1">
      <alignment horizontal="center" vertical="center" wrapText="1"/>
      <protection/>
    </xf>
    <xf numFmtId="0" fontId="62" fillId="24" borderId="27" xfId="89" applyFont="1" applyFill="1" applyBorder="1" applyAlignment="1">
      <alignment horizontal="center" vertical="center" wrapText="1"/>
      <protection/>
    </xf>
    <xf numFmtId="0" fontId="62" fillId="24" borderId="23" xfId="89" applyNumberFormat="1" applyFont="1" applyFill="1" applyBorder="1" applyAlignment="1">
      <alignment vertical="center" wrapText="1"/>
      <protection/>
    </xf>
    <xf numFmtId="1" fontId="21" fillId="24" borderId="0" xfId="89" applyNumberFormat="1" applyFont="1" applyFill="1" applyAlignment="1">
      <alignment vertical="center" wrapText="1"/>
      <protection/>
    </xf>
    <xf numFmtId="0" fontId="62" fillId="24" borderId="27" xfId="89" applyFont="1" applyFill="1" applyBorder="1" applyAlignment="1">
      <alignment horizontal="right" vertical="center" wrapText="1"/>
      <protection/>
    </xf>
    <xf numFmtId="0" fontId="9" fillId="24" borderId="27" xfId="89" applyFont="1" applyFill="1" applyBorder="1" applyAlignment="1">
      <alignment horizontal="right" vertical="center" wrapText="1"/>
      <protection/>
    </xf>
    <xf numFmtId="1" fontId="9" fillId="24" borderId="15" xfId="89" applyNumberFormat="1" applyFont="1" applyFill="1" applyBorder="1" applyAlignment="1">
      <alignment horizontal="left" vertical="center" wrapText="1"/>
      <protection/>
    </xf>
    <xf numFmtId="1" fontId="21" fillId="24" borderId="0" xfId="89" applyNumberFormat="1" applyFont="1" applyFill="1" applyAlignment="1">
      <alignment horizontal="left" vertical="center" wrapText="1"/>
      <protection/>
    </xf>
    <xf numFmtId="0" fontId="62" fillId="24" borderId="35" xfId="89" applyFont="1" applyFill="1" applyBorder="1" applyAlignment="1">
      <alignment horizontal="center" vertical="center" wrapText="1"/>
      <protection/>
    </xf>
    <xf numFmtId="3" fontId="9" fillId="24" borderId="15" xfId="89" applyNumberFormat="1" applyFont="1" applyFill="1" applyBorder="1" applyAlignment="1">
      <alignment horizontal="right" vertical="center" wrapText="1"/>
      <protection/>
    </xf>
    <xf numFmtId="0" fontId="21" fillId="24" borderId="34" xfId="89" applyFont="1" applyFill="1" applyBorder="1" applyAlignment="1">
      <alignment horizontal="center" vertical="center" wrapText="1"/>
      <protection/>
    </xf>
    <xf numFmtId="0" fontId="21" fillId="24" borderId="36" xfId="89" applyFont="1" applyFill="1" applyBorder="1" applyAlignment="1">
      <alignment horizontal="center" vertical="center" wrapText="1"/>
      <protection/>
    </xf>
    <xf numFmtId="0" fontId="21" fillId="24" borderId="25" xfId="89" applyFont="1" applyFill="1" applyBorder="1" applyAlignment="1">
      <alignment vertical="center" wrapText="1"/>
      <protection/>
    </xf>
    <xf numFmtId="177" fontId="21" fillId="24" borderId="18" xfId="89" applyNumberFormat="1" applyFont="1" applyFill="1" applyBorder="1" applyAlignment="1">
      <alignment vertical="center" wrapText="1"/>
      <protection/>
    </xf>
    <xf numFmtId="0" fontId="21" fillId="24" borderId="18" xfId="89" applyFont="1" applyFill="1" applyBorder="1" applyAlignment="1">
      <alignment vertical="center" wrapText="1"/>
      <protection/>
    </xf>
    <xf numFmtId="0" fontId="68" fillId="24" borderId="0" xfId="89" applyFont="1" applyFill="1" applyAlignment="1">
      <alignment vertical="center" wrapText="1"/>
      <protection/>
    </xf>
    <xf numFmtId="0" fontId="61" fillId="24" borderId="0" xfId="91" applyFont="1" applyFill="1" applyAlignment="1">
      <alignment horizontal="center" vertical="center"/>
      <protection/>
    </xf>
    <xf numFmtId="0" fontId="21" fillId="24" borderId="0" xfId="91" applyFont="1" applyFill="1" applyAlignment="1">
      <alignment vertical="center"/>
      <protection/>
    </xf>
    <xf numFmtId="0" fontId="61" fillId="24" borderId="0" xfId="91" applyFont="1" applyFill="1" applyAlignment="1">
      <alignment horizontal="center" vertical="center" wrapText="1"/>
      <protection/>
    </xf>
    <xf numFmtId="175" fontId="61" fillId="24" borderId="0" xfId="91" applyNumberFormat="1" applyFont="1" applyFill="1" applyAlignment="1">
      <alignment horizontal="center" vertical="center"/>
      <protection/>
    </xf>
    <xf numFmtId="174" fontId="61" fillId="24" borderId="0" xfId="51" applyNumberFormat="1" applyFont="1" applyFill="1" applyAlignment="1">
      <alignment horizontal="center" vertical="center"/>
    </xf>
    <xf numFmtId="0" fontId="21" fillId="24" borderId="1" xfId="91" applyFont="1" applyFill="1" applyBorder="1" applyAlignment="1">
      <alignment horizontal="center" vertical="center"/>
      <protection/>
    </xf>
    <xf numFmtId="49" fontId="21" fillId="24" borderId="1" xfId="91" applyNumberFormat="1" applyFont="1" applyFill="1" applyBorder="1" applyAlignment="1">
      <alignment vertical="center" wrapText="1"/>
      <protection/>
    </xf>
    <xf numFmtId="175" fontId="21" fillId="24" borderId="0" xfId="91" applyNumberFormat="1" applyFont="1" applyFill="1" applyAlignment="1">
      <alignment vertical="center" wrapText="1"/>
      <protection/>
    </xf>
    <xf numFmtId="49" fontId="21" fillId="24" borderId="0" xfId="91" applyNumberFormat="1" applyFont="1" applyFill="1" applyAlignment="1">
      <alignment vertical="center" wrapText="1"/>
      <protection/>
    </xf>
    <xf numFmtId="43" fontId="21" fillId="24" borderId="0" xfId="53" applyFont="1" applyFill="1" applyAlignment="1">
      <alignment vertical="center"/>
    </xf>
    <xf numFmtId="174" fontId="21" fillId="24" borderId="0" xfId="51" applyNumberFormat="1" applyFont="1" applyFill="1" applyAlignment="1">
      <alignment vertical="center"/>
    </xf>
    <xf numFmtId="0" fontId="61" fillId="24" borderId="9" xfId="91" applyFont="1" applyFill="1" applyBorder="1" applyAlignment="1">
      <alignment horizontal="center" vertical="center" wrapText="1"/>
      <protection/>
    </xf>
    <xf numFmtId="49" fontId="61" fillId="24" borderId="9" xfId="91" applyNumberFormat="1" applyFont="1" applyFill="1" applyBorder="1" applyAlignment="1">
      <alignment horizontal="center" vertical="center" wrapText="1"/>
      <protection/>
    </xf>
    <xf numFmtId="175" fontId="61" fillId="24" borderId="9" xfId="91" applyNumberFormat="1" applyFont="1" applyFill="1" applyBorder="1" applyAlignment="1">
      <alignment horizontal="center" vertical="center" wrapText="1"/>
      <protection/>
    </xf>
    <xf numFmtId="1" fontId="61" fillId="24" borderId="9" xfId="91" applyNumberFormat="1" applyFont="1" applyFill="1" applyBorder="1" applyAlignment="1">
      <alignment horizontal="center" vertical="center" wrapText="1"/>
      <protection/>
    </xf>
    <xf numFmtId="1" fontId="61" fillId="24" borderId="9" xfId="53" applyNumberFormat="1" applyFont="1" applyFill="1" applyBorder="1" applyAlignment="1">
      <alignment horizontal="center" vertical="center" wrapText="1"/>
    </xf>
    <xf numFmtId="1" fontId="61" fillId="24" borderId="9" xfId="51" applyNumberFormat="1" applyFont="1" applyFill="1" applyBorder="1" applyAlignment="1">
      <alignment horizontal="center" vertical="center" wrapText="1"/>
    </xf>
    <xf numFmtId="1" fontId="61" fillId="24" borderId="0" xfId="51" applyNumberFormat="1" applyFont="1" applyFill="1" applyBorder="1" applyAlignment="1">
      <alignment horizontal="center" vertical="center" wrapText="1"/>
    </xf>
    <xf numFmtId="0" fontId="61" fillId="24" borderId="0" xfId="91" applyFont="1" applyFill="1" applyAlignment="1">
      <alignment vertical="center" wrapText="1"/>
      <protection/>
    </xf>
    <xf numFmtId="0" fontId="61" fillId="24" borderId="21" xfId="91" applyFont="1" applyFill="1" applyBorder="1" applyAlignment="1">
      <alignment horizontal="center" vertical="center"/>
      <protection/>
    </xf>
    <xf numFmtId="49" fontId="61" fillId="24" borderId="21" xfId="91" applyNumberFormat="1" applyFont="1" applyFill="1" applyBorder="1" applyAlignment="1">
      <alignment horizontal="center" vertical="center" wrapText="1"/>
      <protection/>
    </xf>
    <xf numFmtId="175" fontId="61" fillId="24" borderId="21" xfId="91" applyNumberFormat="1" applyFont="1" applyFill="1" applyBorder="1" applyAlignment="1">
      <alignment horizontal="center" vertical="center" wrapText="1"/>
      <protection/>
    </xf>
    <xf numFmtId="175" fontId="61" fillId="24" borderId="21" xfId="53" applyNumberFormat="1" applyFont="1" applyFill="1" applyBorder="1" applyAlignment="1">
      <alignment vertical="center"/>
    </xf>
    <xf numFmtId="174" fontId="61" fillId="24" borderId="21" xfId="53" applyNumberFormat="1" applyFont="1" applyFill="1" applyBorder="1" applyAlignment="1">
      <alignment vertical="center"/>
    </xf>
    <xf numFmtId="178" fontId="61" fillId="24" borderId="21" xfId="51" applyNumberFormat="1" applyFont="1" applyFill="1" applyBorder="1" applyAlignment="1">
      <alignment vertical="center"/>
    </xf>
    <xf numFmtId="178" fontId="61" fillId="24" borderId="0" xfId="51" applyNumberFormat="1" applyFont="1" applyFill="1" applyBorder="1" applyAlignment="1">
      <alignment vertical="center"/>
    </xf>
    <xf numFmtId="0" fontId="61" fillId="24" borderId="0" xfId="91" applyFont="1" applyFill="1" applyAlignment="1">
      <alignment vertical="center"/>
      <protection/>
    </xf>
    <xf numFmtId="3" fontId="61" fillId="24" borderId="0" xfId="91" applyNumberFormat="1" applyFont="1" applyFill="1" applyAlignment="1">
      <alignment vertical="center"/>
      <protection/>
    </xf>
    <xf numFmtId="0" fontId="61" fillId="24" borderId="15" xfId="91" applyFont="1" applyFill="1" applyBorder="1" applyAlignment="1">
      <alignment horizontal="center" vertical="center"/>
      <protection/>
    </xf>
    <xf numFmtId="49" fontId="61" fillId="24" borderId="15" xfId="91" applyNumberFormat="1" applyFont="1" applyFill="1" applyBorder="1" applyAlignment="1">
      <alignment horizontal="right" vertical="center" wrapText="1"/>
      <protection/>
    </xf>
    <xf numFmtId="175" fontId="61" fillId="24" borderId="15" xfId="91" applyNumberFormat="1" applyFont="1" applyFill="1" applyBorder="1" applyAlignment="1">
      <alignment vertical="center" wrapText="1"/>
      <protection/>
    </xf>
    <xf numFmtId="175" fontId="61" fillId="24" borderId="15" xfId="53" applyNumberFormat="1" applyFont="1" applyFill="1" applyBorder="1" applyAlignment="1">
      <alignment horizontal="left" vertical="center"/>
    </xf>
    <xf numFmtId="175" fontId="61" fillId="24" borderId="15" xfId="53" applyNumberFormat="1" applyFont="1" applyFill="1" applyBorder="1" applyAlignment="1">
      <alignment vertical="center"/>
    </xf>
    <xf numFmtId="174" fontId="61" fillId="24" borderId="15" xfId="53" applyNumberFormat="1" applyFont="1" applyFill="1" applyBorder="1" applyAlignment="1">
      <alignment vertical="center"/>
    </xf>
    <xf numFmtId="174" fontId="61" fillId="24" borderId="15" xfId="51" applyNumberFormat="1" applyFont="1" applyFill="1" applyBorder="1" applyAlignment="1">
      <alignment vertical="center"/>
    </xf>
    <xf numFmtId="174" fontId="61" fillId="24" borderId="0" xfId="51" applyNumberFormat="1" applyFont="1" applyFill="1" applyBorder="1" applyAlignment="1">
      <alignment vertical="center"/>
    </xf>
    <xf numFmtId="0" fontId="42" fillId="24" borderId="0" xfId="91" applyFont="1" applyFill="1" applyAlignment="1">
      <alignment horizontal="right" vertical="center"/>
      <protection/>
    </xf>
    <xf numFmtId="0" fontId="42" fillId="24" borderId="0" xfId="91" applyFont="1" applyFill="1" applyAlignment="1">
      <alignment vertical="center"/>
      <protection/>
    </xf>
    <xf numFmtId="0" fontId="42" fillId="24" borderId="0" xfId="91" applyFont="1" applyFill="1" applyAlignment="1">
      <alignment horizontal="left" vertical="center"/>
      <protection/>
    </xf>
    <xf numFmtId="0" fontId="21" fillId="24" borderId="15" xfId="91" applyFont="1" applyFill="1" applyBorder="1" applyAlignment="1">
      <alignment horizontal="center" vertical="center"/>
      <protection/>
    </xf>
    <xf numFmtId="49" fontId="21" fillId="24" borderId="15" xfId="91" applyNumberFormat="1" applyFont="1" applyFill="1" applyBorder="1" applyAlignment="1">
      <alignment horizontal="right" vertical="center" wrapText="1"/>
      <protection/>
    </xf>
    <xf numFmtId="175" fontId="21" fillId="24" borderId="15" xfId="91" applyNumberFormat="1" applyFont="1" applyFill="1" applyBorder="1" applyAlignment="1">
      <alignment vertical="center" wrapText="1"/>
      <protection/>
    </xf>
    <xf numFmtId="175" fontId="21" fillId="24" borderId="15" xfId="53" applyNumberFormat="1" applyFont="1" applyFill="1" applyBorder="1" applyAlignment="1">
      <alignment horizontal="left" vertical="center"/>
    </xf>
    <xf numFmtId="175" fontId="21" fillId="24" borderId="15" xfId="53" applyNumberFormat="1" applyFont="1" applyFill="1" applyBorder="1" applyAlignment="1">
      <alignment vertical="center"/>
    </xf>
    <xf numFmtId="174" fontId="21" fillId="24" borderId="15" xfId="53" applyNumberFormat="1" applyFont="1" applyFill="1" applyBorder="1" applyAlignment="1">
      <alignment vertical="center"/>
    </xf>
    <xf numFmtId="174" fontId="21" fillId="24" borderId="15" xfId="51" applyNumberFormat="1" applyFont="1" applyFill="1" applyBorder="1" applyAlignment="1">
      <alignment vertical="center"/>
    </xf>
    <xf numFmtId="174" fontId="21" fillId="24" borderId="0" xfId="51" applyNumberFormat="1" applyFont="1" applyFill="1" applyBorder="1" applyAlignment="1">
      <alignment vertical="center"/>
    </xf>
    <xf numFmtId="0" fontId="21" fillId="24" borderId="0" xfId="91" applyFont="1" applyFill="1" applyAlignment="1">
      <alignment horizontal="right" vertical="center"/>
      <protection/>
    </xf>
    <xf numFmtId="0" fontId="21" fillId="24" borderId="0" xfId="91" applyFont="1" applyFill="1" applyAlignment="1">
      <alignment horizontal="left" vertical="center"/>
      <protection/>
    </xf>
    <xf numFmtId="49" fontId="21" fillId="24" borderId="15" xfId="91" applyNumberFormat="1" applyFont="1" applyFill="1" applyBorder="1" applyAlignment="1">
      <alignment vertical="center" wrapText="1"/>
      <protection/>
    </xf>
    <xf numFmtId="49" fontId="21" fillId="24" borderId="15" xfId="91" applyNumberFormat="1" applyFont="1" applyFill="1" applyBorder="1" applyAlignment="1" quotePrefix="1">
      <alignment vertical="center" wrapText="1"/>
      <protection/>
    </xf>
    <xf numFmtId="175" fontId="21" fillId="24" borderId="15" xfId="91" applyNumberFormat="1" applyFont="1" applyFill="1" applyBorder="1" applyAlignment="1" quotePrefix="1">
      <alignment vertical="center" wrapText="1"/>
      <protection/>
    </xf>
    <xf numFmtId="49" fontId="9" fillId="24" borderId="15" xfId="91" applyNumberFormat="1" applyFont="1" applyFill="1" applyBorder="1" applyAlignment="1" quotePrefix="1">
      <alignment vertical="center" wrapText="1"/>
      <protection/>
    </xf>
    <xf numFmtId="175" fontId="9" fillId="24" borderId="15" xfId="91" applyNumberFormat="1" applyFont="1" applyFill="1" applyBorder="1" applyAlignment="1" quotePrefix="1">
      <alignment vertical="center" wrapText="1"/>
      <protection/>
    </xf>
    <xf numFmtId="49" fontId="61" fillId="24" borderId="15" xfId="91" applyNumberFormat="1" applyFont="1" applyFill="1" applyBorder="1" applyAlignment="1">
      <alignment vertical="center" wrapText="1"/>
      <protection/>
    </xf>
    <xf numFmtId="197" fontId="61" fillId="24" borderId="15" xfId="91" applyNumberFormat="1" applyFont="1" applyFill="1" applyBorder="1" applyAlignment="1">
      <alignment vertical="center" wrapText="1"/>
      <protection/>
    </xf>
    <xf numFmtId="3" fontId="61" fillId="24" borderId="15" xfId="91" applyNumberFormat="1" applyFont="1" applyFill="1" applyBorder="1" applyAlignment="1">
      <alignment vertical="center" wrapText="1"/>
      <protection/>
    </xf>
    <xf numFmtId="0" fontId="60" fillId="24" borderId="15" xfId="91" applyFont="1" applyFill="1" applyBorder="1" applyAlignment="1">
      <alignment horizontal="center" vertical="center"/>
      <protection/>
    </xf>
    <xf numFmtId="49" fontId="60" fillId="24" borderId="15" xfId="91" applyNumberFormat="1" applyFont="1" applyFill="1" applyBorder="1" applyAlignment="1">
      <alignment horizontal="right" vertical="center" wrapText="1"/>
      <protection/>
    </xf>
    <xf numFmtId="175" fontId="60" fillId="24" borderId="15" xfId="91" applyNumberFormat="1" applyFont="1" applyFill="1" applyBorder="1" applyAlignment="1">
      <alignment vertical="center" wrapText="1"/>
      <protection/>
    </xf>
    <xf numFmtId="175" fontId="60" fillId="24" borderId="15" xfId="91" applyNumberFormat="1" applyFont="1" applyFill="1" applyBorder="1" applyAlignment="1">
      <alignment horizontal="left" vertical="center" wrapText="1"/>
      <protection/>
    </xf>
    <xf numFmtId="174" fontId="60" fillId="24" borderId="0" xfId="51" applyNumberFormat="1" applyFont="1" applyFill="1" applyBorder="1" applyAlignment="1">
      <alignment horizontal="center" vertical="center"/>
    </xf>
    <xf numFmtId="0" fontId="60" fillId="24" borderId="0" xfId="91" applyFont="1" applyFill="1" applyAlignment="1">
      <alignment horizontal="right" vertical="center"/>
      <protection/>
    </xf>
    <xf numFmtId="0" fontId="60" fillId="24" borderId="0" xfId="91" applyFont="1" applyFill="1" applyAlignment="1">
      <alignment vertical="center"/>
      <protection/>
    </xf>
    <xf numFmtId="0" fontId="60" fillId="24" borderId="0" xfId="91" applyFont="1" applyFill="1" applyAlignment="1">
      <alignment horizontal="left" vertical="center"/>
      <protection/>
    </xf>
    <xf numFmtId="3" fontId="21" fillId="24" borderId="15" xfId="53" applyNumberFormat="1" applyFont="1" applyFill="1" applyBorder="1" applyAlignment="1">
      <alignment vertical="center"/>
    </xf>
    <xf numFmtId="3" fontId="21" fillId="24" borderId="15" xfId="53" applyNumberFormat="1" applyFont="1" applyFill="1" applyBorder="1" applyAlignment="1">
      <alignment horizontal="left" vertical="center"/>
    </xf>
    <xf numFmtId="174" fontId="21" fillId="24" borderId="0" xfId="51" applyNumberFormat="1" applyFont="1" applyFill="1" applyBorder="1" applyAlignment="1">
      <alignment horizontal="center" vertical="center"/>
    </xf>
    <xf numFmtId="175" fontId="60" fillId="24" borderId="15" xfId="53" applyNumberFormat="1" applyFont="1" applyFill="1" applyBorder="1" applyAlignment="1">
      <alignment vertical="center"/>
    </xf>
    <xf numFmtId="174" fontId="60" fillId="24" borderId="0" xfId="51" applyNumberFormat="1" applyFont="1" applyFill="1" applyBorder="1" applyAlignment="1">
      <alignment vertical="center"/>
    </xf>
    <xf numFmtId="49" fontId="60" fillId="24" borderId="15" xfId="91" applyNumberFormat="1" applyFont="1" applyFill="1" applyBorder="1" applyAlignment="1">
      <alignment vertical="center" wrapText="1"/>
      <protection/>
    </xf>
    <xf numFmtId="3" fontId="61" fillId="24" borderId="15" xfId="53" applyNumberFormat="1" applyFont="1" applyFill="1" applyBorder="1" applyAlignment="1">
      <alignment vertical="center"/>
    </xf>
    <xf numFmtId="0" fontId="61" fillId="24" borderId="22" xfId="91" applyFont="1" applyFill="1" applyBorder="1" applyAlignment="1">
      <alignment horizontal="center" vertical="center"/>
      <protection/>
    </xf>
    <xf numFmtId="49" fontId="61" fillId="24" borderId="22" xfId="91" applyNumberFormat="1" applyFont="1" applyFill="1" applyBorder="1" applyAlignment="1">
      <alignment vertical="center" wrapText="1"/>
      <protection/>
    </xf>
    <xf numFmtId="175" fontId="61" fillId="24" borderId="22" xfId="91" applyNumberFormat="1" applyFont="1" applyFill="1" applyBorder="1" applyAlignment="1">
      <alignment vertical="center" wrapText="1"/>
      <protection/>
    </xf>
    <xf numFmtId="175" fontId="61" fillId="24" borderId="22" xfId="53" applyNumberFormat="1" applyFont="1" applyFill="1" applyBorder="1" applyAlignment="1">
      <alignment vertical="center"/>
    </xf>
    <xf numFmtId="174" fontId="61" fillId="24" borderId="22" xfId="53" applyNumberFormat="1" applyFont="1" applyFill="1" applyBorder="1" applyAlignment="1">
      <alignment vertical="center"/>
    </xf>
    <xf numFmtId="174" fontId="61" fillId="24" borderId="22" xfId="51" applyNumberFormat="1" applyFont="1" applyFill="1" applyBorder="1" applyAlignment="1">
      <alignment vertical="center"/>
    </xf>
    <xf numFmtId="0" fontId="21" fillId="24" borderId="21" xfId="91" applyFont="1" applyFill="1" applyBorder="1" applyAlignment="1">
      <alignment horizontal="center" vertical="center"/>
      <protection/>
    </xf>
    <xf numFmtId="49" fontId="21" fillId="24" borderId="21" xfId="91" applyNumberFormat="1" applyFont="1" applyFill="1" applyBorder="1" applyAlignment="1">
      <alignment vertical="center" wrapText="1"/>
      <protection/>
    </xf>
    <xf numFmtId="175" fontId="21" fillId="24" borderId="21" xfId="91" applyNumberFormat="1" applyFont="1" applyFill="1" applyBorder="1" applyAlignment="1">
      <alignment vertical="center" wrapText="1"/>
      <protection/>
    </xf>
    <xf numFmtId="175" fontId="42" fillId="24" borderId="21" xfId="53" applyNumberFormat="1" applyFont="1" applyFill="1" applyBorder="1" applyAlignment="1">
      <alignment vertical="center"/>
    </xf>
    <xf numFmtId="175" fontId="21" fillId="24" borderId="21" xfId="53" applyNumberFormat="1" applyFont="1" applyFill="1" applyBorder="1" applyAlignment="1">
      <alignment vertical="center"/>
    </xf>
    <xf numFmtId="174" fontId="21" fillId="24" borderId="21" xfId="53" applyNumberFormat="1" applyFont="1" applyFill="1" applyBorder="1" applyAlignment="1">
      <alignment vertical="center"/>
    </xf>
    <xf numFmtId="174" fontId="21" fillId="24" borderId="21" xfId="51" applyNumberFormat="1" applyFont="1" applyFill="1" applyBorder="1" applyAlignment="1">
      <alignment vertical="center"/>
    </xf>
    <xf numFmtId="0" fontId="21" fillId="24" borderId="18" xfId="91" applyFont="1" applyFill="1" applyBorder="1" applyAlignment="1">
      <alignment horizontal="center" vertical="center"/>
      <protection/>
    </xf>
    <xf numFmtId="49" fontId="21" fillId="24" borderId="18" xfId="91" applyNumberFormat="1" applyFont="1" applyFill="1" applyBorder="1" applyAlignment="1">
      <alignment vertical="center" wrapText="1"/>
      <protection/>
    </xf>
    <xf numFmtId="175" fontId="21" fillId="24" borderId="18" xfId="91" applyNumberFormat="1" applyFont="1" applyFill="1" applyBorder="1" applyAlignment="1">
      <alignment vertical="center" wrapText="1"/>
      <protection/>
    </xf>
    <xf numFmtId="3" fontId="21" fillId="24" borderId="18" xfId="53" applyNumberFormat="1" applyFont="1" applyFill="1" applyBorder="1" applyAlignment="1">
      <alignment vertical="center"/>
    </xf>
    <xf numFmtId="174" fontId="21" fillId="24" borderId="18" xfId="53" applyNumberFormat="1" applyFont="1" applyFill="1" applyBorder="1" applyAlignment="1">
      <alignment vertical="center"/>
    </xf>
    <xf numFmtId="174" fontId="21" fillId="24" borderId="18" xfId="51" applyNumberFormat="1" applyFont="1" applyFill="1" applyBorder="1" applyAlignment="1">
      <alignment vertical="center"/>
    </xf>
    <xf numFmtId="0" fontId="21" fillId="24" borderId="0" xfId="91" applyFont="1" applyFill="1" applyAlignment="1">
      <alignment horizontal="center" vertical="center"/>
      <protection/>
    </xf>
    <xf numFmtId="174" fontId="21" fillId="24" borderId="0" xfId="53" applyNumberFormat="1" applyFont="1" applyFill="1" applyAlignment="1">
      <alignment vertical="center"/>
    </xf>
    <xf numFmtId="0" fontId="71" fillId="24" borderId="0" xfId="91" applyFont="1" applyFill="1" applyAlignment="1">
      <alignment horizontal="center" vertical="center"/>
      <protection/>
    </xf>
    <xf numFmtId="49" fontId="21" fillId="24" borderId="0" xfId="91" applyNumberFormat="1" applyFont="1" applyFill="1" applyAlignment="1">
      <alignment horizontal="left" vertical="center"/>
      <protection/>
    </xf>
    <xf numFmtId="175" fontId="21" fillId="24" borderId="0" xfId="91" applyNumberFormat="1" applyFont="1" applyFill="1" applyAlignment="1">
      <alignment horizontal="left" vertical="center"/>
      <protection/>
    </xf>
    <xf numFmtId="4" fontId="21" fillId="24" borderId="0" xfId="91" applyNumberFormat="1" applyFont="1" applyFill="1" applyAlignment="1">
      <alignment horizontal="left" vertical="center"/>
      <protection/>
    </xf>
    <xf numFmtId="174" fontId="21" fillId="24" borderId="0" xfId="91" applyNumberFormat="1" applyFont="1" applyFill="1" applyAlignment="1">
      <alignment horizontal="left" vertical="center"/>
      <protection/>
    </xf>
    <xf numFmtId="174" fontId="21" fillId="24" borderId="0" xfId="51" applyNumberFormat="1" applyFont="1" applyFill="1" applyAlignment="1">
      <alignment horizontal="left" vertical="center"/>
    </xf>
    <xf numFmtId="3" fontId="61" fillId="24" borderId="15" xfId="89" applyNumberFormat="1" applyFont="1" applyFill="1" applyBorder="1" applyAlignment="1">
      <alignment horizontal="right" vertical="center" wrapText="1"/>
      <protection/>
    </xf>
    <xf numFmtId="1" fontId="61" fillId="24" borderId="15" xfId="89" applyNumberFormat="1" applyFont="1" applyFill="1" applyBorder="1" applyAlignment="1">
      <alignment horizontal="left" vertical="center" wrapText="1"/>
      <protection/>
    </xf>
    <xf numFmtId="1" fontId="61" fillId="24" borderId="15" xfId="89" applyNumberFormat="1" applyFont="1" applyFill="1" applyBorder="1" applyAlignment="1">
      <alignment horizontal="right" vertical="center" wrapText="1"/>
      <protection/>
    </xf>
    <xf numFmtId="175" fontId="61" fillId="24" borderId="15" xfId="89" applyNumberFormat="1" applyFont="1" applyFill="1" applyBorder="1" applyAlignment="1">
      <alignment horizontal="right" vertical="center" wrapText="1"/>
      <protection/>
    </xf>
    <xf numFmtId="175" fontId="61" fillId="24" borderId="15" xfId="89" applyNumberFormat="1" applyFont="1" applyFill="1" applyBorder="1" applyAlignment="1">
      <alignment horizontal="left" vertical="center" wrapText="1"/>
      <protection/>
    </xf>
    <xf numFmtId="1" fontId="21" fillId="24" borderId="15" xfId="89" applyNumberFormat="1" applyFont="1" applyFill="1" applyBorder="1" applyAlignment="1">
      <alignment horizontal="left" vertical="center" wrapText="1"/>
      <protection/>
    </xf>
    <xf numFmtId="1" fontId="21" fillId="24" borderId="15" xfId="89" applyNumberFormat="1" applyFont="1" applyFill="1" applyBorder="1" applyAlignment="1">
      <alignment horizontal="right" vertical="center" wrapText="1"/>
      <protection/>
    </xf>
    <xf numFmtId="3" fontId="21" fillId="24" borderId="15" xfId="89" applyNumberFormat="1" applyFont="1" applyFill="1" applyBorder="1" applyAlignment="1">
      <alignment horizontal="right" vertical="center" wrapText="1"/>
      <protection/>
    </xf>
    <xf numFmtId="3" fontId="21" fillId="24" borderId="15" xfId="89" applyNumberFormat="1" applyFont="1" applyFill="1" applyBorder="1" applyAlignment="1">
      <alignment horizontal="left" vertical="center" wrapText="1"/>
      <protection/>
    </xf>
    <xf numFmtId="1" fontId="60" fillId="24" borderId="15" xfId="89" applyNumberFormat="1" applyFont="1" applyFill="1" applyBorder="1" applyAlignment="1">
      <alignment horizontal="left" vertical="center" wrapText="1"/>
      <protection/>
    </xf>
    <xf numFmtId="1" fontId="60" fillId="24" borderId="15" xfId="89" applyNumberFormat="1" applyFont="1" applyFill="1" applyBorder="1" applyAlignment="1">
      <alignment horizontal="right" vertical="center" wrapText="1"/>
      <protection/>
    </xf>
    <xf numFmtId="175" fontId="60" fillId="24" borderId="15" xfId="89" applyNumberFormat="1" applyFont="1" applyFill="1" applyBorder="1" applyAlignment="1">
      <alignment horizontal="right" vertical="center" wrapText="1"/>
      <protection/>
    </xf>
    <xf numFmtId="175" fontId="60" fillId="24" borderId="15" xfId="89" applyNumberFormat="1" applyFont="1" applyFill="1" applyBorder="1" applyAlignment="1">
      <alignment horizontal="left" vertical="center" wrapText="1"/>
      <protection/>
    </xf>
    <xf numFmtId="1" fontId="62" fillId="24" borderId="15" xfId="89" applyNumberFormat="1" applyFont="1" applyFill="1" applyBorder="1" applyAlignment="1">
      <alignment horizontal="right" vertical="center" wrapText="1"/>
      <protection/>
    </xf>
    <xf numFmtId="175" fontId="62" fillId="24" borderId="15" xfId="89" applyNumberFormat="1" applyFont="1" applyFill="1" applyBorder="1" applyAlignment="1">
      <alignment horizontal="right" vertical="center" wrapText="1"/>
      <protection/>
    </xf>
    <xf numFmtId="175" fontId="60" fillId="24" borderId="15" xfId="89" applyNumberFormat="1" applyFont="1" applyFill="1" applyBorder="1" applyAlignment="1">
      <alignment horizontal="center" vertical="center" wrapText="1"/>
      <protection/>
    </xf>
    <xf numFmtId="3" fontId="21" fillId="24" borderId="15" xfId="89" applyNumberFormat="1" applyFont="1" applyFill="1" applyBorder="1" applyAlignment="1">
      <alignment horizontal="center" vertical="center" wrapText="1"/>
      <protection/>
    </xf>
    <xf numFmtId="3" fontId="9" fillId="24" borderId="15" xfId="89" applyNumberFormat="1" applyFont="1" applyFill="1" applyBorder="1" applyAlignment="1">
      <alignment horizontal="left" vertical="center" wrapText="1"/>
      <protection/>
    </xf>
    <xf numFmtId="1" fontId="62" fillId="24" borderId="15" xfId="89" applyNumberFormat="1" applyFont="1" applyFill="1" applyBorder="1" applyAlignment="1">
      <alignment horizontal="left" vertical="center" wrapText="1"/>
      <protection/>
    </xf>
    <xf numFmtId="175" fontId="62" fillId="24" borderId="15" xfId="89" applyNumberFormat="1" applyFont="1" applyFill="1" applyBorder="1" applyAlignment="1">
      <alignment horizontal="left" vertical="center" wrapText="1"/>
      <protection/>
    </xf>
    <xf numFmtId="0" fontId="61" fillId="0" borderId="0" xfId="0" applyFont="1" applyFill="1" applyAlignment="1">
      <alignment vertical="center"/>
    </xf>
    <xf numFmtId="0" fontId="21" fillId="0" borderId="0" xfId="0" applyFont="1" applyFill="1" applyAlignment="1">
      <alignment vertical="center"/>
    </xf>
    <xf numFmtId="0" fontId="21" fillId="0" borderId="0" xfId="0" applyFont="1" applyFill="1" applyAlignment="1">
      <alignment vertical="center" wrapText="1"/>
    </xf>
    <xf numFmtId="0" fontId="21" fillId="0" borderId="0" xfId="0" applyFont="1" applyFill="1" applyAlignment="1">
      <alignment horizontal="center" vertical="center" wrapText="1"/>
    </xf>
    <xf numFmtId="0" fontId="61" fillId="0" borderId="0" xfId="0" applyFont="1" applyFill="1" applyAlignment="1">
      <alignment vertical="center" wrapText="1"/>
    </xf>
    <xf numFmtId="0" fontId="21" fillId="0" borderId="0" xfId="0" applyFont="1" applyFill="1" applyAlignment="1">
      <alignment horizontal="center" vertical="center"/>
    </xf>
    <xf numFmtId="0" fontId="21" fillId="0" borderId="15" xfId="0" applyFont="1" applyFill="1" applyBorder="1" applyAlignment="1">
      <alignment horizontal="center" vertical="center"/>
    </xf>
    <xf numFmtId="0" fontId="21" fillId="0" borderId="15" xfId="0" applyFont="1" applyFill="1" applyBorder="1" applyAlignment="1">
      <alignment vertical="center"/>
    </xf>
    <xf numFmtId="0" fontId="21" fillId="0" borderId="15" xfId="0" applyFont="1" applyFill="1" applyBorder="1" applyAlignment="1">
      <alignment wrapText="1"/>
    </xf>
    <xf numFmtId="0" fontId="21" fillId="0" borderId="15" xfId="0" applyFont="1" applyFill="1" applyBorder="1" applyAlignment="1">
      <alignment vertical="center" wrapText="1"/>
    </xf>
    <xf numFmtId="3" fontId="21" fillId="0" borderId="15" xfId="0" applyNumberFormat="1" applyFont="1" applyFill="1" applyBorder="1" applyAlignment="1">
      <alignment vertical="center"/>
    </xf>
    <xf numFmtId="178" fontId="21" fillId="0" borderId="15" xfId="49" applyNumberFormat="1" applyFont="1" applyFill="1" applyBorder="1" applyAlignment="1">
      <alignment horizontal="right" vertical="center"/>
    </xf>
    <xf numFmtId="0" fontId="60" fillId="0" borderId="0" xfId="0" applyFont="1" applyFill="1" applyAlignment="1">
      <alignment vertical="center"/>
    </xf>
    <xf numFmtId="49" fontId="21" fillId="0" borderId="15" xfId="0" applyNumberFormat="1" applyFont="1" applyFill="1" applyBorder="1" applyAlignment="1">
      <alignment vertical="center" wrapText="1"/>
    </xf>
    <xf numFmtId="49" fontId="21" fillId="0" borderId="15" xfId="0" applyNumberFormat="1" applyFont="1" applyFill="1" applyBorder="1" applyAlignment="1">
      <alignment horizontal="left" vertical="center" wrapText="1" indent="1"/>
    </xf>
    <xf numFmtId="49" fontId="21" fillId="0" borderId="15" xfId="0" applyNumberFormat="1" applyFont="1" applyFill="1" applyBorder="1" applyAlignment="1">
      <alignment horizontal="left" vertical="center" wrapText="1" indent="4"/>
    </xf>
    <xf numFmtId="0" fontId="61" fillId="0" borderId="15" xfId="0" applyFont="1" applyFill="1" applyBorder="1" applyAlignment="1">
      <alignment horizontal="center" vertical="center" wrapText="1"/>
    </xf>
    <xf numFmtId="49" fontId="61" fillId="0" borderId="15" xfId="0" applyNumberFormat="1" applyFont="1" applyFill="1" applyBorder="1" applyAlignment="1">
      <alignment vertical="center" wrapText="1"/>
    </xf>
    <xf numFmtId="0" fontId="60" fillId="0" borderId="15" xfId="0" applyFont="1" applyFill="1" applyBorder="1" applyAlignment="1">
      <alignment horizontal="center" vertical="center" wrapText="1"/>
    </xf>
    <xf numFmtId="49" fontId="60" fillId="0" borderId="15" xfId="0" applyNumberFormat="1" applyFont="1" applyFill="1" applyBorder="1" applyAlignment="1">
      <alignment vertical="center" wrapText="1"/>
    </xf>
    <xf numFmtId="0" fontId="21" fillId="0" borderId="15" xfId="0" applyFont="1" applyFill="1" applyBorder="1" applyAlignment="1" quotePrefix="1">
      <alignment horizontal="center" vertical="center" wrapText="1"/>
    </xf>
    <xf numFmtId="49" fontId="21" fillId="0" borderId="15" xfId="0" applyNumberFormat="1" applyFont="1" applyFill="1" applyBorder="1" applyAlignment="1">
      <alignment horizontal="left" vertical="center" wrapText="1"/>
    </xf>
    <xf numFmtId="0" fontId="20" fillId="0" borderId="0" xfId="0" applyFont="1" applyFill="1" applyAlignment="1">
      <alignment horizontal="center" vertical="center"/>
    </xf>
    <xf numFmtId="0" fontId="20" fillId="0" borderId="0" xfId="0" applyFont="1" applyFill="1" applyAlignment="1">
      <alignment vertical="center" wrapText="1"/>
    </xf>
    <xf numFmtId="0" fontId="20" fillId="0" borderId="0" xfId="0" applyFont="1" applyFill="1" applyAlignment="1">
      <alignment horizontal="center" vertical="center" wrapText="1"/>
    </xf>
    <xf numFmtId="0" fontId="61" fillId="0" borderId="17" xfId="0" applyFont="1" applyFill="1" applyBorder="1" applyAlignment="1">
      <alignment horizontal="center" vertical="center" wrapText="1"/>
    </xf>
    <xf numFmtId="49" fontId="61" fillId="0" borderId="17" xfId="0" applyNumberFormat="1" applyFont="1" applyFill="1" applyBorder="1" applyAlignment="1">
      <alignment vertical="center" wrapText="1"/>
    </xf>
    <xf numFmtId="178" fontId="21" fillId="0" borderId="15" xfId="49" applyNumberFormat="1" applyFont="1" applyFill="1" applyBorder="1" applyAlignment="1">
      <alignment vertical="center"/>
    </xf>
    <xf numFmtId="0" fontId="21" fillId="0" borderId="15" xfId="0" applyFont="1" applyFill="1" applyBorder="1" applyAlignment="1">
      <alignment horizontal="right" vertical="center"/>
    </xf>
    <xf numFmtId="3" fontId="21" fillId="0" borderId="15" xfId="0" applyNumberFormat="1" applyFont="1" applyFill="1" applyBorder="1" applyAlignment="1">
      <alignment horizontal="right" vertical="center"/>
    </xf>
    <xf numFmtId="178" fontId="21" fillId="0" borderId="15" xfId="49" applyNumberFormat="1" applyFont="1" applyFill="1" applyBorder="1" applyAlignment="1">
      <alignment horizontal="center" vertical="center" wrapText="1"/>
    </xf>
    <xf numFmtId="199" fontId="21" fillId="0" borderId="15" xfId="49" applyNumberFormat="1" applyFont="1" applyFill="1" applyBorder="1" applyAlignment="1">
      <alignment horizontal="center" vertical="center" wrapText="1"/>
    </xf>
    <xf numFmtId="199" fontId="21" fillId="0" borderId="15" xfId="49" applyNumberFormat="1" applyFont="1" applyFill="1" applyBorder="1" applyAlignment="1">
      <alignment vertical="center"/>
    </xf>
    <xf numFmtId="0" fontId="61" fillId="0" borderId="15" xfId="0" applyFont="1" applyFill="1" applyBorder="1" applyAlignment="1">
      <alignment vertical="center"/>
    </xf>
    <xf numFmtId="178" fontId="61" fillId="0" borderId="15" xfId="49" applyNumberFormat="1" applyFont="1" applyFill="1" applyBorder="1" applyAlignment="1">
      <alignment vertical="center"/>
    </xf>
    <xf numFmtId="3" fontId="61" fillId="0" borderId="15" xfId="0" applyNumberFormat="1" applyFont="1" applyFill="1" applyBorder="1" applyAlignment="1">
      <alignment vertical="center"/>
    </xf>
    <xf numFmtId="49" fontId="60" fillId="0" borderId="15" xfId="0" applyNumberFormat="1" applyFont="1" applyFill="1" applyBorder="1" applyAlignment="1">
      <alignment horizontal="left" vertical="center" wrapText="1" indent="4"/>
    </xf>
    <xf numFmtId="0" fontId="21" fillId="0" borderId="15" xfId="0" applyFont="1" applyFill="1" applyBorder="1" applyAlignment="1">
      <alignment horizontal="right" vertical="center" wrapText="1"/>
    </xf>
    <xf numFmtId="0" fontId="21" fillId="0" borderId="0" xfId="0" applyFont="1" applyFill="1" applyAlignment="1">
      <alignment horizontal="right" vertical="center"/>
    </xf>
    <xf numFmtId="178" fontId="61" fillId="0" borderId="15" xfId="0" applyNumberFormat="1" applyFont="1" applyFill="1" applyBorder="1" applyAlignment="1">
      <alignment vertical="center"/>
    </xf>
    <xf numFmtId="0" fontId="21" fillId="0" borderId="18" xfId="0" applyFont="1" applyFill="1" applyBorder="1" applyAlignment="1">
      <alignment horizontal="center" vertical="center" wrapText="1"/>
    </xf>
    <xf numFmtId="49" fontId="21" fillId="0" borderId="18" xfId="0" applyNumberFormat="1" applyFont="1" applyFill="1" applyBorder="1" applyAlignment="1">
      <alignment vertical="center" wrapText="1"/>
    </xf>
    <xf numFmtId="0" fontId="61" fillId="0" borderId="26" xfId="0" applyFont="1" applyFill="1" applyBorder="1" applyAlignment="1">
      <alignment horizontal="center" vertical="center" wrapText="1"/>
    </xf>
    <xf numFmtId="0" fontId="61" fillId="0" borderId="15" xfId="0" applyFont="1" applyFill="1" applyBorder="1" applyAlignment="1">
      <alignment horizontal="left" vertical="center" wrapText="1"/>
    </xf>
    <xf numFmtId="3" fontId="21" fillId="0" borderId="15" xfId="0" applyNumberFormat="1" applyFont="1" applyFill="1" applyBorder="1" applyAlignment="1">
      <alignment horizontal="right" vertical="center" wrapText="1"/>
    </xf>
    <xf numFmtId="3" fontId="21" fillId="0" borderId="15" xfId="0" applyNumberFormat="1" applyFont="1" applyFill="1" applyBorder="1" applyAlignment="1">
      <alignment vertical="center" wrapText="1"/>
    </xf>
    <xf numFmtId="200" fontId="21" fillId="0" borderId="23" xfId="49" applyNumberFormat="1" applyFont="1" applyFill="1" applyBorder="1" applyAlignment="1">
      <alignment vertical="center"/>
    </xf>
    <xf numFmtId="1" fontId="21" fillId="0" borderId="15" xfId="0" applyNumberFormat="1" applyFont="1" applyFill="1" applyBorder="1" applyAlignment="1">
      <alignment horizontal="right" vertical="center" wrapText="1"/>
    </xf>
    <xf numFmtId="0" fontId="61" fillId="0" borderId="15" xfId="0" applyFont="1" applyFill="1" applyBorder="1" applyAlignment="1">
      <alignment horizontal="right" vertical="center" wrapText="1"/>
    </xf>
    <xf numFmtId="4" fontId="61" fillId="0" borderId="15" xfId="0" applyNumberFormat="1" applyFont="1" applyFill="1" applyBorder="1" applyAlignment="1">
      <alignment vertical="center"/>
    </xf>
    <xf numFmtId="4" fontId="21" fillId="0" borderId="15" xfId="0" applyNumberFormat="1" applyFont="1" applyFill="1" applyBorder="1" applyAlignment="1">
      <alignment horizontal="right" vertical="center"/>
    </xf>
    <xf numFmtId="175" fontId="21" fillId="0" borderId="15" xfId="0" applyNumberFormat="1" applyFont="1" applyFill="1" applyBorder="1" applyAlignment="1">
      <alignment horizontal="right" vertical="center"/>
    </xf>
    <xf numFmtId="3" fontId="20" fillId="0" borderId="15" xfId="0" applyNumberFormat="1" applyFont="1" applyFill="1" applyBorder="1" applyAlignment="1">
      <alignment vertical="center" wrapText="1"/>
    </xf>
    <xf numFmtId="0" fontId="61" fillId="0" borderId="17" xfId="0" applyFont="1" applyFill="1" applyBorder="1" applyAlignment="1">
      <alignment horizontal="right" vertical="center" wrapText="1"/>
    </xf>
    <xf numFmtId="3" fontId="20" fillId="0" borderId="15" xfId="0" applyNumberFormat="1" applyFont="1" applyFill="1" applyBorder="1" applyAlignment="1">
      <alignment horizontal="right" vertical="center"/>
    </xf>
    <xf numFmtId="0" fontId="16" fillId="0" borderId="0" xfId="0" applyFont="1" applyFill="1" applyAlignment="1">
      <alignment horizontal="right" vertical="center"/>
    </xf>
    <xf numFmtId="0" fontId="61" fillId="0" borderId="0" xfId="0" applyFont="1" applyFill="1" applyAlignment="1">
      <alignment horizontal="right" vertical="center"/>
    </xf>
    <xf numFmtId="2" fontId="21" fillId="0" borderId="0" xfId="0" applyNumberFormat="1" applyFont="1" applyFill="1" applyAlignment="1">
      <alignment vertical="center"/>
    </xf>
    <xf numFmtId="3" fontId="21" fillId="0" borderId="0" xfId="0" applyNumberFormat="1" applyFont="1" applyFill="1" applyAlignment="1">
      <alignment vertical="center"/>
    </xf>
    <xf numFmtId="4" fontId="21" fillId="0" borderId="0" xfId="0" applyNumberFormat="1" applyFont="1" applyFill="1" applyAlignment="1">
      <alignment vertical="center"/>
    </xf>
    <xf numFmtId="178" fontId="21" fillId="0" borderId="15" xfId="49" applyNumberFormat="1" applyFont="1" applyFill="1" applyBorder="1" applyAlignment="1">
      <alignment horizontal="left" vertical="center"/>
    </xf>
    <xf numFmtId="178" fontId="21" fillId="0" borderId="15" xfId="49" applyNumberFormat="1" applyFont="1" applyFill="1" applyBorder="1" applyAlignment="1">
      <alignment horizontal="right" vertical="center" wrapText="1"/>
    </xf>
    <xf numFmtId="0" fontId="20" fillId="0" borderId="0" xfId="0" applyFont="1" applyFill="1" applyAlignment="1">
      <alignment horizontal="center" vertical="center" wrapText="1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/>
    </xf>
    <xf numFmtId="3" fontId="61" fillId="0" borderId="0" xfId="0" applyNumberFormat="1" applyFont="1" applyFill="1" applyAlignment="1">
      <alignment horizontal="right" vertical="center"/>
    </xf>
    <xf numFmtId="2" fontId="19" fillId="0" borderId="0" xfId="95" applyNumberFormat="1" applyFont="1" applyFill="1">
      <alignment/>
      <protection/>
    </xf>
    <xf numFmtId="1" fontId="19" fillId="0" borderId="0" xfId="95" applyNumberFormat="1" applyFont="1" applyFill="1">
      <alignment/>
      <protection/>
    </xf>
    <xf numFmtId="3" fontId="80" fillId="0" borderId="0" xfId="95" applyNumberFormat="1" applyFont="1" applyFill="1" applyAlignment="1">
      <alignment horizontal="center"/>
      <protection/>
    </xf>
    <xf numFmtId="3" fontId="80" fillId="0" borderId="0" xfId="95" applyNumberFormat="1" applyFont="1" applyFill="1" applyAlignment="1">
      <alignment horizontal="right"/>
      <protection/>
    </xf>
    <xf numFmtId="201" fontId="19" fillId="0" borderId="0" xfId="95" applyNumberFormat="1" applyFont="1" applyFill="1">
      <alignment/>
      <protection/>
    </xf>
    <xf numFmtId="3" fontId="81" fillId="0" borderId="0" xfId="95" applyNumberFormat="1" applyFont="1" applyFill="1">
      <alignment/>
      <protection/>
    </xf>
    <xf numFmtId="0" fontId="80" fillId="0" borderId="0" xfId="95" applyFont="1" applyFill="1">
      <alignment/>
      <protection/>
    </xf>
    <xf numFmtId="3" fontId="80" fillId="0" borderId="0" xfId="95" applyNumberFormat="1" applyFont="1" applyFill="1">
      <alignment/>
      <protection/>
    </xf>
    <xf numFmtId="178" fontId="21" fillId="0" borderId="21" xfId="49" applyNumberFormat="1" applyFont="1" applyFill="1" applyBorder="1" applyAlignment="1">
      <alignment vertical="center"/>
    </xf>
    <xf numFmtId="2" fontId="21" fillId="0" borderId="15" xfId="0" applyNumberFormat="1" applyFont="1" applyFill="1" applyBorder="1" applyAlignment="1">
      <alignment vertical="center"/>
    </xf>
    <xf numFmtId="179" fontId="61" fillId="0" borderId="0" xfId="0" applyNumberFormat="1" applyFont="1" applyFill="1" applyAlignment="1">
      <alignment vertical="center"/>
    </xf>
    <xf numFmtId="4" fontId="61" fillId="0" borderId="18" xfId="0" applyNumberFormat="1" applyFont="1" applyFill="1" applyBorder="1" applyAlignment="1">
      <alignment vertical="center"/>
    </xf>
    <xf numFmtId="176" fontId="61" fillId="0" borderId="15" xfId="0" applyNumberFormat="1" applyFont="1" applyFill="1" applyBorder="1" applyAlignment="1">
      <alignment vertical="center"/>
    </xf>
    <xf numFmtId="2" fontId="21" fillId="0" borderId="15" xfId="0" applyNumberFormat="1" applyFont="1" applyFill="1" applyBorder="1" applyAlignment="1">
      <alignment horizontal="right" vertical="center" wrapText="1"/>
    </xf>
    <xf numFmtId="175" fontId="21" fillId="0" borderId="15" xfId="0" applyNumberFormat="1" applyFont="1" applyFill="1" applyBorder="1" applyAlignment="1">
      <alignment vertical="center"/>
    </xf>
    <xf numFmtId="177" fontId="21" fillId="0" borderId="15" xfId="0" applyNumberFormat="1" applyFont="1" applyFill="1" applyBorder="1" applyAlignment="1">
      <alignment horizontal="right" vertical="center" wrapText="1"/>
    </xf>
    <xf numFmtId="2" fontId="61" fillId="0" borderId="15" xfId="0" applyNumberFormat="1" applyFont="1" applyFill="1" applyBorder="1" applyAlignment="1">
      <alignment horizontal="right" vertical="center" wrapText="1"/>
    </xf>
    <xf numFmtId="174" fontId="61" fillId="0" borderId="15" xfId="49" applyNumberFormat="1" applyFont="1" applyFill="1" applyBorder="1" applyAlignment="1">
      <alignment vertical="center"/>
    </xf>
    <xf numFmtId="177" fontId="21" fillId="0" borderId="15" xfId="0" applyNumberFormat="1" applyFont="1" applyFill="1" applyBorder="1" applyAlignment="1">
      <alignment vertical="center"/>
    </xf>
    <xf numFmtId="178" fontId="21" fillId="0" borderId="15" xfId="0" applyNumberFormat="1" applyFont="1" applyFill="1" applyBorder="1" applyAlignment="1">
      <alignment horizontal="center" vertical="center" wrapText="1"/>
    </xf>
    <xf numFmtId="178" fontId="21" fillId="0" borderId="15" xfId="0" applyNumberFormat="1" applyFont="1" applyFill="1" applyBorder="1" applyAlignment="1">
      <alignment horizontal="right" vertical="center"/>
    </xf>
    <xf numFmtId="2" fontId="21" fillId="0" borderId="15" xfId="0" applyNumberFormat="1" applyFont="1" applyFill="1" applyBorder="1" applyAlignment="1">
      <alignment vertical="center" wrapText="1"/>
    </xf>
    <xf numFmtId="3" fontId="21" fillId="0" borderId="29" xfId="0" applyNumberFormat="1" applyFont="1" applyFill="1" applyBorder="1" applyAlignment="1">
      <alignment vertical="center"/>
    </xf>
    <xf numFmtId="178" fontId="20" fillId="0" borderId="15" xfId="49" applyNumberFormat="1" applyFont="1" applyFill="1" applyBorder="1" applyAlignment="1">
      <alignment horizontal="right" vertical="center" wrapText="1"/>
    </xf>
    <xf numFmtId="2" fontId="21" fillId="0" borderId="18" xfId="0" applyNumberFormat="1" applyFont="1" applyFill="1" applyBorder="1" applyAlignment="1">
      <alignment horizontal="right" vertical="center"/>
    </xf>
    <xf numFmtId="2" fontId="21" fillId="0" borderId="18" xfId="0" applyNumberFormat="1" applyFont="1" applyFill="1" applyBorder="1" applyAlignment="1">
      <alignment horizontal="right" vertical="center" wrapText="1"/>
    </xf>
    <xf numFmtId="178" fontId="21" fillId="0" borderId="15" xfId="0" applyNumberFormat="1" applyFont="1" applyFill="1" applyBorder="1" applyAlignment="1">
      <alignment horizontal="right" vertical="center" wrapText="1"/>
    </xf>
    <xf numFmtId="174" fontId="21" fillId="0" borderId="15" xfId="0" applyNumberFormat="1" applyFont="1" applyFill="1" applyBorder="1" applyAlignment="1">
      <alignment horizontal="right" vertical="center" wrapText="1"/>
    </xf>
    <xf numFmtId="199" fontId="61" fillId="0" borderId="15" xfId="49" applyNumberFormat="1" applyFont="1" applyFill="1" applyBorder="1" applyAlignment="1">
      <alignment vertical="center"/>
    </xf>
    <xf numFmtId="176" fontId="21" fillId="0" borderId="15" xfId="0" applyNumberFormat="1" applyFont="1" applyFill="1" applyBorder="1" applyAlignment="1">
      <alignment vertical="center"/>
    </xf>
    <xf numFmtId="176" fontId="61" fillId="0" borderId="15" xfId="49" applyNumberFormat="1" applyFont="1" applyFill="1" applyBorder="1" applyAlignment="1">
      <alignment vertical="center"/>
    </xf>
    <xf numFmtId="175" fontId="21" fillId="0" borderId="0" xfId="0" applyNumberFormat="1" applyFont="1" applyFill="1" applyAlignment="1">
      <alignment vertical="center"/>
    </xf>
    <xf numFmtId="179" fontId="21" fillId="0" borderId="15" xfId="0" applyNumberFormat="1" applyFont="1" applyFill="1" applyBorder="1" applyAlignment="1">
      <alignment horizontal="right" vertical="center" wrapText="1"/>
    </xf>
    <xf numFmtId="0" fontId="19" fillId="0" borderId="0" xfId="95" applyFont="1" applyFill="1">
      <alignment/>
      <protection/>
    </xf>
    <xf numFmtId="3" fontId="21" fillId="0" borderId="15" xfId="0" applyNumberFormat="1" applyFont="1" applyFill="1" applyBorder="1" applyAlignment="1">
      <alignment horizontal="center" vertical="center"/>
    </xf>
    <xf numFmtId="199" fontId="21" fillId="0" borderId="15" xfId="49" applyNumberFormat="1" applyFont="1" applyFill="1" applyBorder="1" applyAlignment="1">
      <alignment horizontal="center" vertical="center"/>
    </xf>
    <xf numFmtId="199" fontId="21" fillId="0" borderId="15" xfId="49" applyNumberFormat="1" applyFont="1" applyFill="1" applyBorder="1" applyAlignment="1">
      <alignment horizontal="right" vertical="center"/>
    </xf>
    <xf numFmtId="4" fontId="21" fillId="0" borderId="15" xfId="0" applyNumberFormat="1" applyFont="1" applyFill="1" applyBorder="1" applyAlignment="1">
      <alignment vertical="center"/>
    </xf>
    <xf numFmtId="43" fontId="21" fillId="0" borderId="0" xfId="49" applyFont="1" applyFill="1" applyAlignment="1">
      <alignment vertical="center"/>
    </xf>
    <xf numFmtId="178" fontId="21" fillId="0" borderId="0" xfId="0" applyNumberFormat="1" applyFont="1" applyFill="1" applyAlignment="1">
      <alignment vertical="center"/>
    </xf>
    <xf numFmtId="3" fontId="20" fillId="0" borderId="15" xfId="0" applyNumberFormat="1" applyFont="1" applyFill="1" applyBorder="1" applyAlignment="1">
      <alignment vertical="center"/>
    </xf>
    <xf numFmtId="175" fontId="16" fillId="0" borderId="15" xfId="94" applyNumberFormat="1" applyFont="1" applyFill="1" applyBorder="1" applyAlignment="1">
      <alignment/>
      <protection/>
    </xf>
    <xf numFmtId="174" fontId="21" fillId="0" borderId="15" xfId="49" applyNumberFormat="1" applyFont="1" applyFill="1" applyBorder="1" applyAlignment="1">
      <alignment horizontal="right" vertical="center" wrapText="1"/>
    </xf>
    <xf numFmtId="178" fontId="20" fillId="0" borderId="15" xfId="0" applyNumberFormat="1" applyFont="1" applyFill="1" applyBorder="1" applyAlignment="1">
      <alignment horizontal="right" vertical="center" wrapText="1"/>
    </xf>
    <xf numFmtId="178" fontId="79" fillId="0" borderId="15" xfId="49" applyNumberFormat="1" applyFont="1" applyFill="1" applyBorder="1" applyAlignment="1">
      <alignment horizontal="right" vertical="center" wrapText="1"/>
    </xf>
    <xf numFmtId="3" fontId="79" fillId="0" borderId="15" xfId="0" applyNumberFormat="1" applyFont="1" applyFill="1" applyBorder="1" applyAlignment="1">
      <alignment horizontal="right" vertical="center" wrapText="1"/>
    </xf>
    <xf numFmtId="178" fontId="79" fillId="0" borderId="15" xfId="49" applyNumberFormat="1" applyFont="1" applyFill="1" applyBorder="1" applyAlignment="1">
      <alignment horizontal="center" vertical="center" wrapText="1"/>
    </xf>
    <xf numFmtId="3" fontId="20" fillId="0" borderId="15" xfId="0" applyNumberFormat="1" applyFont="1" applyFill="1" applyBorder="1" applyAlignment="1">
      <alignment horizontal="right" vertical="center" wrapText="1"/>
    </xf>
    <xf numFmtId="3" fontId="60" fillId="0" borderId="15" xfId="0" applyNumberFormat="1" applyFont="1" applyFill="1" applyBorder="1" applyAlignment="1">
      <alignment horizontal="right" vertical="center" wrapText="1"/>
    </xf>
    <xf numFmtId="175" fontId="21" fillId="0" borderId="15" xfId="0" applyNumberFormat="1" applyFont="1" applyFill="1" applyBorder="1" applyAlignment="1">
      <alignment horizontal="right" vertical="center" wrapText="1"/>
    </xf>
    <xf numFmtId="3" fontId="60" fillId="0" borderId="15" xfId="0" applyNumberFormat="1" applyFont="1" applyFill="1" applyBorder="1" applyAlignment="1">
      <alignment horizontal="right" vertical="center"/>
    </xf>
    <xf numFmtId="178" fontId="79" fillId="0" borderId="15" xfId="0" applyNumberFormat="1" applyFont="1" applyFill="1" applyBorder="1" applyAlignment="1">
      <alignment horizontal="right" vertical="center" wrapText="1"/>
    </xf>
    <xf numFmtId="175" fontId="60" fillId="0" borderId="15" xfId="0" applyNumberFormat="1" applyFont="1" applyFill="1" applyBorder="1" applyAlignment="1">
      <alignment horizontal="right" vertical="center" wrapText="1"/>
    </xf>
    <xf numFmtId="0" fontId="20" fillId="0" borderId="15" xfId="0" applyFont="1" applyFill="1" applyBorder="1" applyAlignment="1">
      <alignment horizontal="right" vertical="center" wrapText="1"/>
    </xf>
    <xf numFmtId="0" fontId="79" fillId="0" borderId="15" xfId="0" applyFont="1" applyFill="1" applyBorder="1" applyAlignment="1">
      <alignment horizontal="center" vertical="center" wrapText="1"/>
    </xf>
    <xf numFmtId="0" fontId="79" fillId="0" borderId="15" xfId="0" applyFont="1" applyFill="1" applyBorder="1" applyAlignment="1">
      <alignment horizontal="right" vertical="center" wrapText="1"/>
    </xf>
    <xf numFmtId="0" fontId="79" fillId="0" borderId="15" xfId="0" applyFont="1" applyFill="1" applyBorder="1" applyAlignment="1">
      <alignment horizontal="right" vertical="center"/>
    </xf>
    <xf numFmtId="178" fontId="79" fillId="0" borderId="15" xfId="49" applyNumberFormat="1" applyFont="1" applyFill="1" applyBorder="1" applyAlignment="1">
      <alignment horizontal="right" vertical="center"/>
    </xf>
    <xf numFmtId="0" fontId="20" fillId="0" borderId="15" xfId="0" applyFont="1" applyFill="1" applyBorder="1" applyAlignment="1">
      <alignment horizontal="center" vertical="center" wrapText="1"/>
    </xf>
    <xf numFmtId="1" fontId="20" fillId="0" borderId="15" xfId="0" applyNumberFormat="1" applyFont="1" applyFill="1" applyBorder="1" applyAlignment="1">
      <alignment horizontal="right" vertical="center"/>
    </xf>
    <xf numFmtId="1" fontId="20" fillId="0" borderId="15" xfId="0" applyNumberFormat="1" applyFont="1" applyFill="1" applyBorder="1" applyAlignment="1">
      <alignment horizontal="right"/>
    </xf>
    <xf numFmtId="1" fontId="20" fillId="0" borderId="15" xfId="49" applyNumberFormat="1" applyFont="1" applyFill="1" applyBorder="1" applyAlignment="1">
      <alignment horizontal="right" vertical="center"/>
    </xf>
    <xf numFmtId="176" fontId="20" fillId="0" borderId="15" xfId="0" applyNumberFormat="1" applyFont="1" applyFill="1" applyBorder="1" applyAlignment="1">
      <alignment horizontal="right" vertical="center" wrapText="1"/>
    </xf>
    <xf numFmtId="177" fontId="20" fillId="0" borderId="0" xfId="96" applyNumberFormat="1" applyFont="1" applyFill="1" applyAlignment="1">
      <alignment vertical="center"/>
      <protection/>
    </xf>
    <xf numFmtId="177" fontId="20" fillId="0" borderId="15" xfId="0" applyNumberFormat="1" applyFont="1" applyFill="1" applyBorder="1" applyAlignment="1">
      <alignment horizontal="right" vertical="center" wrapText="1"/>
    </xf>
    <xf numFmtId="177" fontId="20" fillId="0" borderId="15" xfId="96" applyNumberFormat="1" applyFont="1" applyFill="1" applyBorder="1" applyAlignment="1">
      <alignment vertical="center"/>
      <protection/>
    </xf>
    <xf numFmtId="177" fontId="20" fillId="0" borderId="15" xfId="96" applyNumberFormat="1" applyFont="1" applyFill="1" applyBorder="1" applyAlignment="1">
      <alignment horizontal="right" vertical="center"/>
      <protection/>
    </xf>
    <xf numFmtId="177" fontId="20" fillId="0" borderId="15" xfId="0" applyNumberFormat="1" applyFont="1" applyFill="1" applyBorder="1" applyAlignment="1">
      <alignment vertical="center"/>
    </xf>
    <xf numFmtId="175" fontId="61" fillId="0" borderId="15" xfId="0" applyNumberFormat="1" applyFont="1" applyFill="1" applyBorder="1" applyAlignment="1">
      <alignment vertical="center"/>
    </xf>
    <xf numFmtId="175" fontId="21" fillId="0" borderId="15" xfId="0" applyNumberFormat="1" applyFont="1" applyFill="1" applyBorder="1" applyAlignment="1">
      <alignment vertical="center" wrapText="1"/>
    </xf>
    <xf numFmtId="175" fontId="21" fillId="0" borderId="15" xfId="49" applyNumberFormat="1" applyFont="1" applyFill="1" applyBorder="1" applyAlignment="1">
      <alignment vertical="center" wrapText="1"/>
    </xf>
    <xf numFmtId="175" fontId="21" fillId="0" borderId="15" xfId="49" applyNumberFormat="1" applyFont="1" applyFill="1" applyBorder="1" applyAlignment="1">
      <alignment vertical="center"/>
    </xf>
    <xf numFmtId="175" fontId="21" fillId="0" borderId="15" xfId="0" applyNumberFormat="1" applyFont="1" applyFill="1" applyBorder="1" applyAlignment="1">
      <alignment horizontal="right"/>
    </xf>
    <xf numFmtId="175" fontId="21" fillId="0" borderId="15" xfId="94" applyNumberFormat="1" applyFont="1" applyFill="1" applyBorder="1">
      <alignment/>
      <protection/>
    </xf>
    <xf numFmtId="175" fontId="21" fillId="0" borderId="15" xfId="49" applyNumberFormat="1" applyFont="1" applyFill="1" applyBorder="1" applyAlignment="1">
      <alignment/>
    </xf>
    <xf numFmtId="175" fontId="21" fillId="0" borderId="15" xfId="94" applyNumberFormat="1" applyFont="1" applyFill="1" applyBorder="1" applyAlignment="1">
      <alignment horizontal="right"/>
      <protection/>
    </xf>
    <xf numFmtId="175" fontId="21" fillId="0" borderId="15" xfId="49" applyNumberFormat="1" applyFont="1" applyFill="1" applyBorder="1" applyAlignment="1">
      <alignment horizontal="right"/>
    </xf>
    <xf numFmtId="3" fontId="61" fillId="0" borderId="15" xfId="49" applyNumberFormat="1" applyFont="1" applyFill="1" applyBorder="1" applyAlignment="1">
      <alignment vertical="center"/>
    </xf>
    <xf numFmtId="0" fontId="80" fillId="0" borderId="0" xfId="95" applyFont="1" applyFill="1">
      <alignment/>
      <protection/>
    </xf>
    <xf numFmtId="2" fontId="19" fillId="0" borderId="0" xfId="95" applyNumberFormat="1" applyFont="1" applyFill="1">
      <alignment/>
      <protection/>
    </xf>
    <xf numFmtId="3" fontId="81" fillId="0" borderId="0" xfId="95" applyNumberFormat="1" applyFont="1" applyFill="1">
      <alignment/>
      <protection/>
    </xf>
    <xf numFmtId="1" fontId="80" fillId="0" borderId="0" xfId="95" applyNumberFormat="1" applyFont="1" applyFill="1">
      <alignment/>
      <protection/>
    </xf>
    <xf numFmtId="202" fontId="20" fillId="0" borderId="15" xfId="0" applyNumberFormat="1" applyFont="1" applyFill="1" applyBorder="1" applyAlignment="1">
      <alignment horizontal="center" vertical="center" wrapText="1"/>
    </xf>
    <xf numFmtId="1" fontId="19" fillId="0" borderId="0" xfId="95" applyNumberFormat="1" applyFont="1" applyFill="1">
      <alignment/>
      <protection/>
    </xf>
    <xf numFmtId="3" fontId="80" fillId="0" borderId="0" xfId="95" applyNumberFormat="1" applyFont="1" applyFill="1" applyAlignment="1">
      <alignment horizontal="right"/>
      <protection/>
    </xf>
    <xf numFmtId="201" fontId="19" fillId="0" borderId="0" xfId="95" applyNumberFormat="1" applyFont="1" applyFill="1">
      <alignment/>
      <protection/>
    </xf>
    <xf numFmtId="0" fontId="61" fillId="0" borderId="0" xfId="0" applyFont="1" applyFill="1" applyAlignment="1">
      <alignment/>
    </xf>
    <xf numFmtId="0" fontId="0" fillId="0" borderId="0" xfId="0" applyFill="1" applyAlignment="1">
      <alignment/>
    </xf>
    <xf numFmtId="175" fontId="60" fillId="0" borderId="15" xfId="0" applyNumberFormat="1" applyFont="1" applyFill="1" applyBorder="1" applyAlignment="1">
      <alignment horizontal="right"/>
    </xf>
    <xf numFmtId="175" fontId="60" fillId="0" borderId="15" xfId="0" applyNumberFormat="1" applyFont="1" applyFill="1" applyBorder="1" applyAlignment="1">
      <alignment horizontal="right" vertical="center"/>
    </xf>
    <xf numFmtId="175" fontId="60" fillId="0" borderId="15" xfId="49" applyNumberFormat="1" applyFont="1" applyFill="1" applyBorder="1" applyAlignment="1">
      <alignment vertical="center"/>
    </xf>
    <xf numFmtId="1" fontId="83" fillId="0" borderId="0" xfId="95" applyNumberFormat="1" applyFont="1" applyFill="1">
      <alignment/>
      <protection/>
    </xf>
    <xf numFmtId="3" fontId="84" fillId="0" borderId="0" xfId="95" applyNumberFormat="1" applyFont="1" applyFill="1">
      <alignment/>
      <protection/>
    </xf>
    <xf numFmtId="175" fontId="21" fillId="0" borderId="15" xfId="0" applyNumberFormat="1" applyFont="1" applyFill="1" applyBorder="1" applyAlignment="1">
      <alignment horizontal="center"/>
    </xf>
    <xf numFmtId="0" fontId="21" fillId="0" borderId="21" xfId="0" applyFont="1" applyFill="1" applyBorder="1" applyAlignment="1">
      <alignment horizontal="center" vertical="center"/>
    </xf>
    <xf numFmtId="0" fontId="21" fillId="0" borderId="21" xfId="0" applyFont="1" applyFill="1" applyBorder="1" applyAlignment="1">
      <alignment wrapText="1"/>
    </xf>
    <xf numFmtId="175" fontId="21" fillId="0" borderId="21" xfId="0" applyNumberFormat="1" applyFont="1" applyFill="1" applyBorder="1" applyAlignment="1">
      <alignment horizontal="right" vertical="center" wrapText="1"/>
    </xf>
    <xf numFmtId="0" fontId="61" fillId="0" borderId="9" xfId="0" applyFont="1" applyFill="1" applyBorder="1" applyAlignment="1">
      <alignment/>
    </xf>
    <xf numFmtId="0" fontId="61" fillId="0" borderId="9" xfId="0" applyFont="1" applyFill="1" applyBorder="1" applyAlignment="1">
      <alignment horizontal="center"/>
    </xf>
    <xf numFmtId="178" fontId="20" fillId="0" borderId="15" xfId="49" applyNumberFormat="1" applyFont="1" applyFill="1" applyBorder="1" applyAlignment="1">
      <alignment horizontal="right" vertical="center"/>
    </xf>
    <xf numFmtId="0" fontId="16" fillId="0" borderId="0" xfId="0" applyFont="1" applyFill="1" applyBorder="1" applyAlignment="1">
      <alignment horizontal="right" vertical="center"/>
    </xf>
    <xf numFmtId="178" fontId="20" fillId="0" borderId="0" xfId="0" applyNumberFormat="1" applyFont="1" applyFill="1" applyBorder="1" applyAlignment="1">
      <alignment horizontal="right" vertical="center" wrapText="1"/>
    </xf>
    <xf numFmtId="178" fontId="20" fillId="0" borderId="0" xfId="49" applyNumberFormat="1" applyFont="1" applyFill="1" applyBorder="1" applyAlignment="1">
      <alignment horizontal="right" vertical="center"/>
    </xf>
    <xf numFmtId="0" fontId="16" fillId="0" borderId="0" xfId="0" applyFont="1" applyFill="1" applyBorder="1" applyAlignment="1">
      <alignment vertical="center"/>
    </xf>
    <xf numFmtId="202" fontId="20" fillId="0" borderId="0" xfId="0" applyNumberFormat="1" applyFont="1" applyFill="1" applyBorder="1" applyAlignment="1">
      <alignment horizontal="center" vertical="center" wrapText="1"/>
    </xf>
    <xf numFmtId="0" fontId="16" fillId="0" borderId="26" xfId="0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vertical="center" wrapText="1"/>
    </xf>
    <xf numFmtId="49" fontId="16" fillId="0" borderId="17" xfId="0" applyNumberFormat="1" applyFont="1" applyFill="1" applyBorder="1" applyAlignment="1">
      <alignment vertical="center" wrapText="1"/>
    </xf>
    <xf numFmtId="0" fontId="16" fillId="0" borderId="17" xfId="0" applyFont="1" applyFill="1" applyBorder="1" applyAlignment="1">
      <alignment horizontal="right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left" vertical="center" wrapText="1"/>
    </xf>
    <xf numFmtId="0" fontId="16" fillId="0" borderId="15" xfId="0" applyFont="1" applyFill="1" applyBorder="1" applyAlignment="1">
      <alignment horizontal="right" vertical="center" wrapText="1"/>
    </xf>
    <xf numFmtId="2" fontId="16" fillId="0" borderId="15" xfId="0" applyNumberFormat="1" applyFont="1" applyFill="1" applyBorder="1" applyAlignment="1">
      <alignment horizontal="center" vertical="center" wrapText="1"/>
    </xf>
    <xf numFmtId="177" fontId="16" fillId="0" borderId="15" xfId="0" applyNumberFormat="1" applyFont="1" applyFill="1" applyBorder="1" applyAlignment="1">
      <alignment horizontal="center" vertical="center" wrapText="1"/>
    </xf>
    <xf numFmtId="0" fontId="20" fillId="0" borderId="15" xfId="0" applyFont="1" applyFill="1" applyBorder="1" applyAlignment="1">
      <alignment horizontal="center" vertical="center"/>
    </xf>
    <xf numFmtId="0" fontId="20" fillId="0" borderId="15" xfId="0" applyFont="1" applyFill="1" applyBorder="1" applyAlignment="1">
      <alignment/>
    </xf>
    <xf numFmtId="2" fontId="20" fillId="0" borderId="15" xfId="0" applyNumberFormat="1" applyFont="1" applyFill="1" applyBorder="1" applyAlignment="1">
      <alignment horizontal="center" vertical="center" wrapText="1"/>
    </xf>
    <xf numFmtId="2" fontId="20" fillId="0" borderId="15" xfId="0" applyNumberFormat="1" applyFont="1" applyFill="1" applyBorder="1" applyAlignment="1">
      <alignment horizontal="center" vertical="center"/>
    </xf>
    <xf numFmtId="2" fontId="16" fillId="0" borderId="15" xfId="0" applyNumberFormat="1" applyFont="1" applyFill="1" applyBorder="1" applyAlignment="1">
      <alignment vertical="center"/>
    </xf>
    <xf numFmtId="4" fontId="16" fillId="0" borderId="15" xfId="0" applyNumberFormat="1" applyFont="1" applyFill="1" applyBorder="1" applyAlignment="1">
      <alignment vertical="center"/>
    </xf>
    <xf numFmtId="49" fontId="20" fillId="0" borderId="15" xfId="0" applyNumberFormat="1" applyFont="1" applyFill="1" applyBorder="1" applyAlignment="1">
      <alignment vertical="center" wrapText="1"/>
    </xf>
    <xf numFmtId="175" fontId="20" fillId="0" borderId="15" xfId="0" applyNumberFormat="1" applyFont="1" applyFill="1" applyBorder="1" applyAlignment="1">
      <alignment horizontal="right" vertical="center" wrapText="1"/>
    </xf>
    <xf numFmtId="175" fontId="20" fillId="0" borderId="15" xfId="0" applyNumberFormat="1" applyFont="1" applyFill="1" applyBorder="1" applyAlignment="1">
      <alignment horizontal="center" vertical="center" wrapText="1"/>
    </xf>
    <xf numFmtId="175" fontId="16" fillId="0" borderId="15" xfId="0" applyNumberFormat="1" applyFont="1" applyFill="1" applyBorder="1" applyAlignment="1">
      <alignment vertical="center" wrapText="1"/>
    </xf>
    <xf numFmtId="175" fontId="16" fillId="0" borderId="15" xfId="0" applyNumberFormat="1" applyFont="1" applyFill="1" applyBorder="1" applyAlignment="1">
      <alignment vertical="center"/>
    </xf>
    <xf numFmtId="49" fontId="20" fillId="0" borderId="15" xfId="0" applyNumberFormat="1" applyFont="1" applyFill="1" applyBorder="1" applyAlignment="1">
      <alignment horizontal="left" vertical="center" wrapText="1" indent="1"/>
    </xf>
    <xf numFmtId="175" fontId="20" fillId="0" borderId="15" xfId="0" applyNumberFormat="1" applyFont="1" applyFill="1" applyBorder="1" applyAlignment="1">
      <alignment vertical="center" wrapText="1"/>
    </xf>
    <xf numFmtId="175" fontId="20" fillId="0" borderId="15" xfId="49" applyNumberFormat="1" applyFont="1" applyFill="1" applyBorder="1" applyAlignment="1">
      <alignment vertical="center" wrapText="1"/>
    </xf>
    <xf numFmtId="175" fontId="20" fillId="0" borderId="15" xfId="49" applyNumberFormat="1" applyFont="1" applyFill="1" applyBorder="1" applyAlignment="1">
      <alignment vertical="center"/>
    </xf>
    <xf numFmtId="49" fontId="20" fillId="0" borderId="15" xfId="0" applyNumberFormat="1" applyFont="1" applyFill="1" applyBorder="1" applyAlignment="1">
      <alignment horizontal="left" vertical="center" wrapText="1" indent="4"/>
    </xf>
    <xf numFmtId="175" fontId="20" fillId="0" borderId="15" xfId="0" applyNumberFormat="1" applyFont="1" applyFill="1" applyBorder="1" applyAlignment="1">
      <alignment/>
    </xf>
    <xf numFmtId="175" fontId="20" fillId="0" borderId="15" xfId="0" applyNumberFormat="1" applyFont="1" applyFill="1" applyBorder="1" applyAlignment="1">
      <alignment horizontal="right"/>
    </xf>
    <xf numFmtId="175" fontId="20" fillId="0" borderId="15" xfId="0" applyNumberFormat="1" applyFont="1" applyFill="1" applyBorder="1" applyAlignment="1">
      <alignment horizontal="right" vertical="center"/>
    </xf>
    <xf numFmtId="175" fontId="20" fillId="0" borderId="15" xfId="94" applyNumberFormat="1" applyFont="1" applyFill="1" applyBorder="1">
      <alignment/>
      <protection/>
    </xf>
    <xf numFmtId="175" fontId="20" fillId="0" borderId="15" xfId="49" applyNumberFormat="1" applyFont="1" applyFill="1" applyBorder="1" applyAlignment="1">
      <alignment/>
    </xf>
    <xf numFmtId="175" fontId="20" fillId="0" borderId="15" xfId="94" applyNumberFormat="1" applyFont="1" applyFill="1" applyBorder="1" applyAlignment="1">
      <alignment horizontal="right"/>
      <protection/>
    </xf>
    <xf numFmtId="175" fontId="20" fillId="0" borderId="15" xfId="49" applyNumberFormat="1" applyFont="1" applyFill="1" applyBorder="1" applyAlignment="1">
      <alignment horizontal="right"/>
    </xf>
    <xf numFmtId="0" fontId="20" fillId="0" borderId="15" xfId="0" applyFont="1" applyFill="1" applyBorder="1" applyAlignment="1">
      <alignment wrapText="1"/>
    </xf>
    <xf numFmtId="2" fontId="20" fillId="0" borderId="15" xfId="0" applyNumberFormat="1" applyFont="1" applyFill="1" applyBorder="1" applyAlignment="1">
      <alignment vertical="center"/>
    </xf>
    <xf numFmtId="2" fontId="16" fillId="0" borderId="15" xfId="0" applyNumberFormat="1" applyFont="1" applyFill="1" applyBorder="1" applyAlignment="1">
      <alignment horizontal="right" vertical="center" wrapText="1"/>
    </xf>
    <xf numFmtId="49" fontId="79" fillId="0" borderId="15" xfId="0" applyNumberFormat="1" applyFont="1" applyFill="1" applyBorder="1" applyAlignment="1">
      <alignment horizontal="left" vertical="center" wrapText="1" indent="4"/>
    </xf>
    <xf numFmtId="2" fontId="79" fillId="0" borderId="15" xfId="0" applyNumberFormat="1" applyFont="1" applyFill="1" applyBorder="1" applyAlignment="1">
      <alignment horizontal="center" vertical="center" wrapText="1"/>
    </xf>
    <xf numFmtId="2" fontId="37" fillId="0" borderId="15" xfId="0" applyNumberFormat="1" applyFont="1" applyFill="1" applyBorder="1" applyAlignment="1">
      <alignment horizontal="right" vertical="center" wrapText="1"/>
    </xf>
    <xf numFmtId="175" fontId="16" fillId="0" borderId="15" xfId="0" applyNumberFormat="1" applyFont="1" applyFill="1" applyBorder="1" applyAlignment="1">
      <alignment horizontal="right" vertical="center" wrapText="1"/>
    </xf>
    <xf numFmtId="175" fontId="16" fillId="0" borderId="15" xfId="0" applyNumberFormat="1" applyFont="1" applyFill="1" applyBorder="1" applyAlignment="1">
      <alignment horizontal="right" vertical="center"/>
    </xf>
    <xf numFmtId="199" fontId="20" fillId="0" borderId="15" xfId="49" applyNumberFormat="1" applyFont="1" applyFill="1" applyBorder="1" applyAlignment="1">
      <alignment horizontal="center" vertical="center" wrapText="1"/>
    </xf>
    <xf numFmtId="199" fontId="20" fillId="0" borderId="15" xfId="49" applyNumberFormat="1" applyFont="1" applyFill="1" applyBorder="1" applyAlignment="1">
      <alignment vertical="center"/>
    </xf>
    <xf numFmtId="176" fontId="16" fillId="0" borderId="15" xfId="0" applyNumberFormat="1" applyFont="1" applyFill="1" applyBorder="1" applyAlignment="1">
      <alignment horizontal="right" vertical="center"/>
    </xf>
    <xf numFmtId="176" fontId="16" fillId="0" borderId="15" xfId="0" applyNumberFormat="1" applyFont="1" applyFill="1" applyBorder="1" applyAlignment="1">
      <alignment vertical="center"/>
    </xf>
    <xf numFmtId="0" fontId="20" fillId="0" borderId="15" xfId="0" applyFont="1" applyFill="1" applyBorder="1" applyAlignment="1">
      <alignment vertical="center" wrapText="1"/>
    </xf>
    <xf numFmtId="178" fontId="20" fillId="0" borderId="15" xfId="49" applyNumberFormat="1" applyFont="1" applyFill="1" applyBorder="1" applyAlignment="1">
      <alignment horizontal="center" vertical="center" wrapText="1"/>
    </xf>
    <xf numFmtId="178" fontId="20" fillId="0" borderId="15" xfId="49" applyNumberFormat="1" applyFont="1" applyFill="1" applyBorder="1" applyAlignment="1">
      <alignment vertical="center"/>
    </xf>
    <xf numFmtId="3" fontId="16" fillId="0" borderId="15" xfId="0" applyNumberFormat="1" applyFont="1" applyFill="1" applyBorder="1" applyAlignment="1">
      <alignment horizontal="right" vertical="center"/>
    </xf>
    <xf numFmtId="178" fontId="16" fillId="0" borderId="15" xfId="49" applyNumberFormat="1" applyFont="1" applyFill="1" applyBorder="1" applyAlignment="1">
      <alignment vertical="center"/>
    </xf>
    <xf numFmtId="49" fontId="16" fillId="0" borderId="15" xfId="0" applyNumberFormat="1" applyFont="1" applyFill="1" applyBorder="1" applyAlignment="1">
      <alignment vertical="center" wrapText="1"/>
    </xf>
    <xf numFmtId="0" fontId="20" fillId="0" borderId="15" xfId="0" applyFont="1" applyFill="1" applyBorder="1" applyAlignment="1">
      <alignment vertical="center"/>
    </xf>
    <xf numFmtId="0" fontId="16" fillId="0" borderId="15" xfId="0" applyFont="1" applyFill="1" applyBorder="1" applyAlignment="1">
      <alignment horizontal="right" vertical="center"/>
    </xf>
    <xf numFmtId="0" fontId="16" fillId="0" borderId="15" xfId="0" applyFont="1" applyFill="1" applyBorder="1" applyAlignment="1">
      <alignment vertical="center"/>
    </xf>
    <xf numFmtId="49" fontId="20" fillId="0" borderId="15" xfId="0" applyNumberFormat="1" applyFont="1" applyFill="1" applyBorder="1" applyAlignment="1">
      <alignment horizontal="left" vertical="center" wrapText="1"/>
    </xf>
    <xf numFmtId="3" fontId="20" fillId="0" borderId="15" xfId="0" applyNumberFormat="1" applyFont="1" applyFill="1" applyBorder="1" applyAlignment="1">
      <alignment horizontal="center" vertical="center" wrapText="1"/>
    </xf>
    <xf numFmtId="3" fontId="16" fillId="0" borderId="0" xfId="94" applyNumberFormat="1" applyFont="1" applyFill="1" applyAlignment="1">
      <alignment horizontal="right" indent="1"/>
      <protection/>
    </xf>
    <xf numFmtId="3" fontId="20" fillId="0" borderId="15" xfId="0" applyNumberFormat="1" applyFont="1" applyFill="1" applyBorder="1" applyAlignment="1">
      <alignment/>
    </xf>
    <xf numFmtId="178" fontId="20" fillId="0" borderId="15" xfId="49" applyNumberFormat="1" applyFont="1" applyFill="1" applyBorder="1" applyAlignment="1">
      <alignment/>
    </xf>
    <xf numFmtId="178" fontId="20" fillId="0" borderId="15" xfId="0" applyNumberFormat="1" applyFont="1" applyFill="1" applyBorder="1" applyAlignment="1">
      <alignment vertical="center"/>
    </xf>
    <xf numFmtId="178" fontId="16" fillId="0" borderId="15" xfId="0" applyNumberFormat="1" applyFont="1" applyFill="1" applyBorder="1" applyAlignment="1">
      <alignment vertical="center"/>
    </xf>
    <xf numFmtId="1" fontId="20" fillId="0" borderId="15" xfId="0" applyNumberFormat="1" applyFont="1" applyFill="1" applyBorder="1" applyAlignment="1">
      <alignment horizontal="right" vertical="center" wrapText="1"/>
    </xf>
    <xf numFmtId="1" fontId="16" fillId="0" borderId="15" xfId="0" applyNumberFormat="1" applyFont="1" applyFill="1" applyBorder="1" applyAlignment="1">
      <alignment horizontal="right" vertical="center" wrapText="1"/>
    </xf>
    <xf numFmtId="3" fontId="16" fillId="0" borderId="15" xfId="0" applyNumberFormat="1" applyFont="1" applyFill="1" applyBorder="1" applyAlignment="1">
      <alignment vertical="center"/>
    </xf>
    <xf numFmtId="3" fontId="20" fillId="0" borderId="22" xfId="0" applyNumberFormat="1" applyFont="1" applyFill="1" applyBorder="1" applyAlignment="1">
      <alignment/>
    </xf>
    <xf numFmtId="49" fontId="20" fillId="0" borderId="15" xfId="0" applyNumberFormat="1" applyFont="1" applyFill="1" applyBorder="1" applyAlignment="1">
      <alignment horizontal="left" vertical="center" wrapText="1" indent="3"/>
    </xf>
    <xf numFmtId="3" fontId="20" fillId="0" borderId="27" xfId="0" applyNumberFormat="1" applyFont="1" applyFill="1" applyBorder="1" applyAlignment="1">
      <alignment/>
    </xf>
    <xf numFmtId="3" fontId="20" fillId="0" borderId="15" xfId="94" applyNumberFormat="1" applyFont="1" applyFill="1" applyBorder="1" applyAlignment="1">
      <alignment/>
      <protection/>
    </xf>
    <xf numFmtId="3" fontId="20" fillId="0" borderId="15" xfId="94" applyNumberFormat="1" applyFont="1" applyFill="1" applyBorder="1" applyAlignment="1">
      <alignment horizontal="right"/>
      <protection/>
    </xf>
    <xf numFmtId="49" fontId="20" fillId="0" borderId="15" xfId="0" applyNumberFormat="1" applyFont="1" applyFill="1" applyBorder="1" applyAlignment="1">
      <alignment horizontal="left" vertical="center" wrapText="1" indent="5"/>
    </xf>
    <xf numFmtId="3" fontId="20" fillId="0" borderId="0" xfId="94" applyNumberFormat="1" applyFont="1" applyFill="1" applyAlignment="1">
      <alignment/>
      <protection/>
    </xf>
    <xf numFmtId="178" fontId="20" fillId="0" borderId="15" xfId="49" applyNumberFormat="1" applyFont="1" applyFill="1" applyBorder="1" applyAlignment="1">
      <alignment/>
    </xf>
    <xf numFmtId="49" fontId="20" fillId="0" borderId="15" xfId="0" applyNumberFormat="1" applyFont="1" applyFill="1" applyBorder="1" applyAlignment="1">
      <alignment horizontal="left" vertical="center" wrapText="1" indent="2"/>
    </xf>
    <xf numFmtId="3" fontId="20" fillId="0" borderId="21" xfId="0" applyNumberFormat="1" applyFont="1" applyFill="1" applyBorder="1" applyAlignment="1">
      <alignment/>
    </xf>
    <xf numFmtId="178" fontId="20" fillId="0" borderId="21" xfId="49" applyNumberFormat="1" applyFont="1" applyFill="1" applyBorder="1" applyAlignment="1">
      <alignment vertical="center"/>
    </xf>
    <xf numFmtId="175" fontId="20" fillId="0" borderId="15" xfId="0" applyNumberFormat="1" applyFont="1" applyFill="1" applyBorder="1" applyAlignment="1">
      <alignment/>
    </xf>
    <xf numFmtId="178" fontId="20" fillId="0" borderId="0" xfId="49" applyNumberFormat="1" applyFont="1" applyFill="1" applyAlignment="1">
      <alignment/>
    </xf>
    <xf numFmtId="175" fontId="20" fillId="0" borderId="15" xfId="94" applyNumberFormat="1" applyFont="1" applyFill="1" applyBorder="1" applyAlignment="1">
      <alignment/>
      <protection/>
    </xf>
    <xf numFmtId="174" fontId="16" fillId="0" borderId="15" xfId="49" applyNumberFormat="1" applyFont="1" applyFill="1" applyBorder="1" applyAlignment="1">
      <alignment vertical="center"/>
    </xf>
    <xf numFmtId="175" fontId="20" fillId="0" borderId="15" xfId="0" applyNumberFormat="1" applyFont="1" applyFill="1" applyBorder="1" applyAlignment="1">
      <alignment vertical="center"/>
    </xf>
    <xf numFmtId="174" fontId="20" fillId="0" borderId="15" xfId="49" applyNumberFormat="1" applyFont="1" applyFill="1" applyBorder="1" applyAlignment="1">
      <alignment vertical="center"/>
    </xf>
    <xf numFmtId="174" fontId="20" fillId="0" borderId="15" xfId="0" applyNumberFormat="1" applyFont="1" applyFill="1" applyBorder="1" applyAlignment="1">
      <alignment vertical="center"/>
    </xf>
    <xf numFmtId="178" fontId="20" fillId="0" borderId="15" xfId="49" applyNumberFormat="1" applyFont="1" applyFill="1" applyBorder="1" applyAlignment="1">
      <alignment horizontal="left" vertical="center"/>
    </xf>
    <xf numFmtId="178" fontId="20" fillId="0" borderId="15" xfId="0" applyNumberFormat="1" applyFont="1" applyFill="1" applyBorder="1" applyAlignment="1">
      <alignment horizontal="left" vertical="center"/>
    </xf>
    <xf numFmtId="179" fontId="20" fillId="0" borderId="15" xfId="0" applyNumberFormat="1" applyFont="1" applyFill="1" applyBorder="1" applyAlignment="1">
      <alignment horizontal="right" vertical="center" wrapText="1"/>
    </xf>
    <xf numFmtId="178" fontId="20" fillId="0" borderId="15" xfId="0" applyNumberFormat="1" applyFont="1" applyFill="1" applyBorder="1" applyAlignment="1">
      <alignment horizontal="center" vertical="center" wrapText="1"/>
    </xf>
    <xf numFmtId="178" fontId="16" fillId="0" borderId="15" xfId="0" applyNumberFormat="1" applyFont="1" applyFill="1" applyBorder="1" applyAlignment="1">
      <alignment horizontal="right" vertical="center"/>
    </xf>
    <xf numFmtId="0" fontId="20" fillId="0" borderId="15" xfId="0" applyFont="1" applyFill="1" applyBorder="1" applyAlignment="1">
      <alignment horizontal="left"/>
    </xf>
    <xf numFmtId="3" fontId="20" fillId="0" borderId="15" xfId="0" applyNumberFormat="1" applyFont="1" applyFill="1" applyBorder="1" applyAlignment="1">
      <alignment horizontal="center" vertical="center"/>
    </xf>
    <xf numFmtId="0" fontId="20" fillId="0" borderId="15" xfId="0" applyFont="1" applyFill="1" applyBorder="1" applyAlignment="1">
      <alignment horizontal="right" vertical="center"/>
    </xf>
    <xf numFmtId="203" fontId="16" fillId="0" borderId="15" xfId="0" applyNumberFormat="1" applyFont="1" applyFill="1" applyBorder="1" applyAlignment="1">
      <alignment vertical="center"/>
    </xf>
    <xf numFmtId="174" fontId="20" fillId="0" borderId="15" xfId="49" applyNumberFormat="1" applyFont="1" applyFill="1" applyBorder="1" applyAlignment="1">
      <alignment horizontal="right" vertical="center" wrapText="1"/>
    </xf>
    <xf numFmtId="49" fontId="79" fillId="0" borderId="15" xfId="0" applyNumberFormat="1" applyFont="1" applyFill="1" applyBorder="1" applyAlignment="1">
      <alignment vertical="center" wrapText="1"/>
    </xf>
    <xf numFmtId="174" fontId="79" fillId="0" borderId="15" xfId="49" applyNumberFormat="1" applyFont="1" applyFill="1" applyBorder="1" applyAlignment="1">
      <alignment horizontal="center" vertical="center" wrapText="1"/>
    </xf>
    <xf numFmtId="3" fontId="79" fillId="0" borderId="15" xfId="0" applyNumberFormat="1" applyFont="1" applyFill="1" applyBorder="1" applyAlignment="1">
      <alignment horizontal="right" vertical="center"/>
    </xf>
    <xf numFmtId="3" fontId="79" fillId="0" borderId="15" xfId="0" applyNumberFormat="1" applyFont="1" applyFill="1" applyBorder="1" applyAlignment="1">
      <alignment vertical="center"/>
    </xf>
    <xf numFmtId="175" fontId="79" fillId="0" borderId="15" xfId="0" applyNumberFormat="1" applyFont="1" applyFill="1" applyBorder="1" applyAlignment="1">
      <alignment horizontal="right" vertical="center" wrapText="1"/>
    </xf>
    <xf numFmtId="198" fontId="20" fillId="0" borderId="15" xfId="0" applyNumberFormat="1" applyFont="1" applyFill="1" applyBorder="1" applyAlignment="1">
      <alignment horizontal="center" vertical="center" wrapText="1"/>
    </xf>
    <xf numFmtId="4" fontId="16" fillId="0" borderId="15" xfId="0" applyNumberFormat="1" applyFont="1" applyFill="1" applyBorder="1" applyAlignment="1">
      <alignment horizontal="right" vertical="center"/>
    </xf>
    <xf numFmtId="49" fontId="79" fillId="0" borderId="15" xfId="0" applyNumberFormat="1" applyFont="1" applyFill="1" applyBorder="1" applyAlignment="1" quotePrefix="1">
      <alignment horizontal="left" vertical="center" wrapText="1" indent="5"/>
    </xf>
    <xf numFmtId="49" fontId="79" fillId="0" borderId="15" xfId="0" applyNumberFormat="1" applyFont="1" applyFill="1" applyBorder="1" applyAlignment="1">
      <alignment horizontal="left" vertical="center" wrapText="1" indent="5"/>
    </xf>
    <xf numFmtId="174" fontId="20" fillId="0" borderId="15" xfId="49" applyNumberFormat="1" applyFont="1" applyFill="1" applyBorder="1" applyAlignment="1">
      <alignment horizontal="right" vertical="center"/>
    </xf>
    <xf numFmtId="177" fontId="16" fillId="0" borderId="15" xfId="0" applyNumberFormat="1" applyFont="1" applyFill="1" applyBorder="1" applyAlignment="1">
      <alignment horizontal="right" vertical="center"/>
    </xf>
    <xf numFmtId="3" fontId="16" fillId="0" borderId="15" xfId="49" applyNumberFormat="1" applyFont="1" applyFill="1" applyBorder="1" applyAlignment="1">
      <alignment vertical="center"/>
    </xf>
    <xf numFmtId="4" fontId="20" fillId="0" borderId="15" xfId="0" applyNumberFormat="1" applyFont="1" applyFill="1" applyBorder="1" applyAlignment="1">
      <alignment horizontal="right" vertical="center"/>
    </xf>
    <xf numFmtId="178" fontId="20" fillId="0" borderId="15" xfId="0" applyNumberFormat="1" applyFont="1" applyFill="1" applyBorder="1" applyAlignment="1">
      <alignment horizontal="right" vertical="center"/>
    </xf>
    <xf numFmtId="0" fontId="20" fillId="0" borderId="15" xfId="0" applyFont="1" applyFill="1" applyBorder="1" applyAlignment="1" quotePrefix="1">
      <alignment horizontal="center" vertical="center" wrapText="1"/>
    </xf>
    <xf numFmtId="176" fontId="20" fillId="0" borderId="15" xfId="0" applyNumberFormat="1" applyFont="1" applyFill="1" applyBorder="1" applyAlignment="1">
      <alignment vertical="center"/>
    </xf>
    <xf numFmtId="176" fontId="16" fillId="0" borderId="15" xfId="49" applyNumberFormat="1" applyFont="1" applyFill="1" applyBorder="1" applyAlignment="1">
      <alignment vertical="center"/>
    </xf>
    <xf numFmtId="199" fontId="20" fillId="0" borderId="15" xfId="49" applyNumberFormat="1" applyFont="1" applyFill="1" applyBorder="1" applyAlignment="1">
      <alignment horizontal="center" vertical="center"/>
    </xf>
    <xf numFmtId="199" fontId="16" fillId="0" borderId="15" xfId="0" applyNumberFormat="1" applyFont="1" applyFill="1" applyBorder="1" applyAlignment="1">
      <alignment horizontal="right" vertical="center"/>
    </xf>
    <xf numFmtId="199" fontId="16" fillId="0" borderId="15" xfId="49" applyNumberFormat="1" applyFont="1" applyFill="1" applyBorder="1" applyAlignment="1">
      <alignment vertical="center"/>
    </xf>
    <xf numFmtId="199" fontId="20" fillId="0" borderId="15" xfId="49" applyNumberFormat="1" applyFont="1" applyFill="1" applyBorder="1" applyAlignment="1">
      <alignment horizontal="right" vertical="center"/>
    </xf>
    <xf numFmtId="4" fontId="20" fillId="0" borderId="15" xfId="0" applyNumberFormat="1" applyFont="1" applyFill="1" applyBorder="1" applyAlignment="1">
      <alignment vertical="center"/>
    </xf>
    <xf numFmtId="2" fontId="20" fillId="0" borderId="15" xfId="0" applyNumberFormat="1" applyFont="1" applyFill="1" applyBorder="1" applyAlignment="1">
      <alignment vertical="center" wrapText="1"/>
    </xf>
    <xf numFmtId="2" fontId="16" fillId="0" borderId="15" xfId="0" applyNumberFormat="1" applyFont="1" applyFill="1" applyBorder="1" applyAlignment="1">
      <alignment horizontal="right" vertical="center"/>
    </xf>
    <xf numFmtId="174" fontId="16" fillId="0" borderId="15" xfId="49" applyNumberFormat="1" applyFont="1" applyFill="1" applyBorder="1" applyAlignment="1">
      <alignment horizontal="right" vertical="center"/>
    </xf>
    <xf numFmtId="49" fontId="20" fillId="0" borderId="15" xfId="0" applyNumberFormat="1" applyFont="1" applyFill="1" applyBorder="1" applyAlignment="1">
      <alignment horizontal="left" vertical="center" wrapText="1" indent="6"/>
    </xf>
    <xf numFmtId="2" fontId="20" fillId="0" borderId="15" xfId="0" applyNumberFormat="1" applyFont="1" applyFill="1" applyBorder="1" applyAlignment="1">
      <alignment horizontal="right" vertical="center" wrapText="1"/>
    </xf>
    <xf numFmtId="3" fontId="20" fillId="0" borderId="29" xfId="0" applyNumberFormat="1" applyFont="1" applyFill="1" applyBorder="1" applyAlignment="1">
      <alignment vertical="center"/>
    </xf>
    <xf numFmtId="3" fontId="20" fillId="0" borderId="15" xfId="0" applyNumberFormat="1" applyFont="1" applyFill="1" applyBorder="1" applyAlignment="1">
      <alignment/>
    </xf>
    <xf numFmtId="1" fontId="20" fillId="0" borderId="15" xfId="0" applyNumberFormat="1" applyFont="1" applyFill="1" applyBorder="1" applyAlignment="1">
      <alignment vertical="center"/>
    </xf>
    <xf numFmtId="178" fontId="20" fillId="0" borderId="15" xfId="49" applyNumberFormat="1" applyFont="1" applyFill="1" applyBorder="1" applyAlignment="1">
      <alignment horizontal="center" vertical="center"/>
    </xf>
    <xf numFmtId="174" fontId="20" fillId="0" borderId="15" xfId="0" applyNumberFormat="1" applyFont="1" applyFill="1" applyBorder="1" applyAlignment="1">
      <alignment horizontal="right" vertical="center" wrapText="1"/>
    </xf>
    <xf numFmtId="174" fontId="16" fillId="0" borderId="15" xfId="0" applyNumberFormat="1" applyFont="1" applyFill="1" applyBorder="1" applyAlignment="1">
      <alignment horizontal="right" vertical="center" wrapText="1"/>
    </xf>
    <xf numFmtId="0" fontId="20" fillId="0" borderId="18" xfId="0" applyFont="1" applyFill="1" applyBorder="1" applyAlignment="1">
      <alignment horizontal="center" vertical="center" wrapText="1"/>
    </xf>
    <xf numFmtId="49" fontId="20" fillId="0" borderId="18" xfId="0" applyNumberFormat="1" applyFont="1" applyFill="1" applyBorder="1" applyAlignment="1">
      <alignment vertical="center" wrapText="1"/>
    </xf>
    <xf numFmtId="2" fontId="20" fillId="0" borderId="18" xfId="0" applyNumberFormat="1" applyFont="1" applyFill="1" applyBorder="1" applyAlignment="1">
      <alignment horizontal="right" vertical="center" wrapText="1"/>
    </xf>
    <xf numFmtId="2" fontId="20" fillId="0" borderId="18" xfId="0" applyNumberFormat="1" applyFont="1" applyFill="1" applyBorder="1" applyAlignment="1">
      <alignment horizontal="right" vertical="center"/>
    </xf>
    <xf numFmtId="4" fontId="16" fillId="0" borderId="18" xfId="0" applyNumberFormat="1" applyFont="1" applyFill="1" applyBorder="1" applyAlignment="1">
      <alignment horizontal="right" vertical="center"/>
    </xf>
    <xf numFmtId="4" fontId="16" fillId="0" borderId="18" xfId="0" applyNumberFormat="1" applyFont="1" applyFill="1" applyBorder="1" applyAlignment="1">
      <alignment vertical="center"/>
    </xf>
    <xf numFmtId="178" fontId="60" fillId="0" borderId="15" xfId="49" applyNumberFormat="1" applyFont="1" applyFill="1" applyBorder="1" applyAlignment="1">
      <alignment horizontal="right" vertical="center" wrapText="1"/>
    </xf>
    <xf numFmtId="0" fontId="60" fillId="0" borderId="15" xfId="0" applyFont="1" applyFill="1" applyBorder="1" applyAlignment="1">
      <alignment horizontal="right" vertical="center" wrapText="1"/>
    </xf>
    <xf numFmtId="0" fontId="60" fillId="0" borderId="15" xfId="0" applyFont="1" applyFill="1" applyBorder="1" applyAlignment="1">
      <alignment horizontal="right" vertical="center"/>
    </xf>
    <xf numFmtId="1" fontId="21" fillId="0" borderId="15" xfId="0" applyNumberFormat="1" applyFont="1" applyFill="1" applyBorder="1" applyAlignment="1">
      <alignment horizontal="right" vertical="center"/>
    </xf>
    <xf numFmtId="176" fontId="21" fillId="0" borderId="15" xfId="0" applyNumberFormat="1" applyFont="1" applyFill="1" applyBorder="1" applyAlignment="1">
      <alignment horizontal="right" vertical="center" wrapText="1"/>
    </xf>
    <xf numFmtId="177" fontId="21" fillId="0" borderId="0" xfId="96" applyNumberFormat="1" applyFont="1" applyFill="1" applyAlignment="1">
      <alignment vertical="center"/>
      <protection/>
    </xf>
    <xf numFmtId="177" fontId="21" fillId="0" borderId="15" xfId="96" applyNumberFormat="1" applyFont="1" applyFill="1" applyBorder="1" applyAlignment="1">
      <alignment vertical="center"/>
      <protection/>
    </xf>
    <xf numFmtId="1" fontId="21" fillId="0" borderId="15" xfId="0" applyNumberFormat="1" applyFont="1" applyFill="1" applyBorder="1" applyAlignment="1">
      <alignment vertical="center"/>
    </xf>
    <xf numFmtId="202" fontId="60" fillId="0" borderId="15" xfId="0" applyNumberFormat="1" applyFont="1" applyFill="1" applyBorder="1" applyAlignment="1">
      <alignment horizontal="center" vertical="center" wrapText="1"/>
    </xf>
    <xf numFmtId="178" fontId="63" fillId="0" borderId="15" xfId="49" applyNumberFormat="1" applyFont="1" applyFill="1" applyBorder="1" applyAlignment="1">
      <alignment vertical="center"/>
    </xf>
    <xf numFmtId="199" fontId="21" fillId="0" borderId="15" xfId="49" applyNumberFormat="1" applyFont="1" applyFill="1" applyBorder="1" applyAlignment="1">
      <alignment horizontal="right" vertical="center" wrapText="1"/>
    </xf>
    <xf numFmtId="3" fontId="21" fillId="0" borderId="15" xfId="92" applyNumberFormat="1" applyFont="1" applyFill="1" applyBorder="1" applyAlignment="1">
      <alignment horizontal="right" vertical="center" wrapText="1"/>
      <protection/>
    </xf>
    <xf numFmtId="175" fontId="63" fillId="0" borderId="15" xfId="0" applyNumberFormat="1" applyFont="1" applyFill="1" applyBorder="1" applyAlignment="1">
      <alignment vertical="center"/>
    </xf>
    <xf numFmtId="2" fontId="61" fillId="0" borderId="15" xfId="0" applyNumberFormat="1" applyFont="1" applyFill="1" applyBorder="1" applyAlignment="1">
      <alignment horizontal="center" vertical="center" wrapText="1"/>
    </xf>
    <xf numFmtId="199" fontId="9" fillId="0" borderId="15" xfId="49" applyNumberFormat="1" applyFont="1" applyFill="1" applyBorder="1" applyAlignment="1">
      <alignment vertical="center"/>
    </xf>
    <xf numFmtId="0" fontId="85" fillId="0" borderId="17" xfId="0" applyFont="1" applyFill="1" applyBorder="1" applyAlignment="1">
      <alignment horizontal="center" vertical="center" wrapText="1"/>
    </xf>
    <xf numFmtId="0" fontId="85" fillId="0" borderId="15" xfId="0" applyFont="1" applyFill="1" applyBorder="1" applyAlignment="1">
      <alignment horizontal="center" vertical="center" wrapText="1"/>
    </xf>
    <xf numFmtId="2" fontId="9" fillId="0" borderId="15" xfId="0" applyNumberFormat="1" applyFont="1" applyFill="1" applyBorder="1" applyAlignment="1">
      <alignment horizontal="right" vertical="center"/>
    </xf>
    <xf numFmtId="0" fontId="9" fillId="0" borderId="15" xfId="0" applyFont="1" applyFill="1" applyBorder="1" applyAlignment="1">
      <alignment vertical="center"/>
    </xf>
    <xf numFmtId="178" fontId="9" fillId="0" borderId="15" xfId="49" applyNumberFormat="1" applyFont="1" applyFill="1" applyBorder="1" applyAlignment="1">
      <alignment vertical="center"/>
    </xf>
    <xf numFmtId="3" fontId="9" fillId="0" borderId="15" xfId="0" applyNumberFormat="1" applyFont="1" applyFill="1" applyBorder="1" applyAlignment="1">
      <alignment vertical="center"/>
    </xf>
    <xf numFmtId="3" fontId="85" fillId="0" borderId="15" xfId="0" applyNumberFormat="1" applyFont="1" applyFill="1" applyBorder="1" applyAlignment="1">
      <alignment vertical="center"/>
    </xf>
    <xf numFmtId="175" fontId="9" fillId="0" borderId="15" xfId="0" applyNumberFormat="1" applyFont="1" applyFill="1" applyBorder="1" applyAlignment="1">
      <alignment vertical="center"/>
    </xf>
    <xf numFmtId="178" fontId="85" fillId="0" borderId="15" xfId="0" applyNumberFormat="1" applyFont="1" applyFill="1" applyBorder="1" applyAlignment="1">
      <alignment vertical="center"/>
    </xf>
    <xf numFmtId="178" fontId="9" fillId="0" borderId="15" xfId="49" applyNumberFormat="1" applyFont="1" applyFill="1" applyBorder="1" applyAlignment="1">
      <alignment horizontal="left" vertical="center"/>
    </xf>
    <xf numFmtId="178" fontId="9" fillId="0" borderId="15" xfId="49" applyNumberFormat="1" applyFont="1" applyFill="1" applyBorder="1" applyAlignment="1">
      <alignment horizontal="right" vertical="center"/>
    </xf>
    <xf numFmtId="178" fontId="9" fillId="0" borderId="15" xfId="0" applyNumberFormat="1" applyFont="1" applyFill="1" applyBorder="1" applyAlignment="1">
      <alignment horizontal="center" vertical="center" wrapText="1"/>
    </xf>
    <xf numFmtId="178" fontId="9" fillId="0" borderId="15" xfId="0" applyNumberFormat="1" applyFont="1" applyFill="1" applyBorder="1" applyAlignment="1">
      <alignment horizontal="right" vertical="center" wrapText="1"/>
    </xf>
    <xf numFmtId="178" fontId="62" fillId="0" borderId="15" xfId="49" applyNumberFormat="1" applyFont="1" applyFill="1" applyBorder="1" applyAlignment="1">
      <alignment horizontal="right" vertical="center" wrapText="1"/>
    </xf>
    <xf numFmtId="3" fontId="9" fillId="0" borderId="15" xfId="0" applyNumberFormat="1" applyFont="1" applyFill="1" applyBorder="1" applyAlignment="1">
      <alignment horizontal="right" vertical="center" wrapText="1"/>
    </xf>
    <xf numFmtId="202" fontId="62" fillId="0" borderId="15" xfId="0" applyNumberFormat="1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right" vertical="center" wrapText="1"/>
    </xf>
    <xf numFmtId="0" fontId="62" fillId="0" borderId="15" xfId="0" applyFont="1" applyFill="1" applyBorder="1" applyAlignment="1">
      <alignment horizontal="right" vertical="center"/>
    </xf>
    <xf numFmtId="1" fontId="9" fillId="0" borderId="15" xfId="0" applyNumberFormat="1" applyFont="1" applyFill="1" applyBorder="1" applyAlignment="1">
      <alignment horizontal="right" vertical="center"/>
    </xf>
    <xf numFmtId="176" fontId="9" fillId="0" borderId="15" xfId="0" applyNumberFormat="1" applyFont="1" applyFill="1" applyBorder="1" applyAlignment="1">
      <alignment horizontal="right" vertical="center" wrapText="1"/>
    </xf>
    <xf numFmtId="177" fontId="9" fillId="0" borderId="15" xfId="96" applyNumberFormat="1" applyFont="1" applyFill="1" applyBorder="1" applyAlignment="1">
      <alignment horizontal="right" vertical="center"/>
      <protection/>
    </xf>
    <xf numFmtId="3" fontId="9" fillId="0" borderId="15" xfId="0" applyNumberFormat="1" applyFont="1" applyFill="1" applyBorder="1" applyAlignment="1">
      <alignment horizontal="right" vertical="center"/>
    </xf>
    <xf numFmtId="175" fontId="9" fillId="0" borderId="15" xfId="0" applyNumberFormat="1" applyFont="1" applyFill="1" applyBorder="1" applyAlignment="1">
      <alignment horizontal="right" vertical="center"/>
    </xf>
    <xf numFmtId="178" fontId="9" fillId="0" borderId="15" xfId="0" applyNumberFormat="1" applyFont="1" applyFill="1" applyBorder="1" applyAlignment="1">
      <alignment horizontal="right" vertical="center"/>
    </xf>
    <xf numFmtId="4" fontId="9" fillId="0" borderId="15" xfId="0" applyNumberFormat="1" applyFont="1" applyFill="1" applyBorder="1" applyAlignment="1">
      <alignment horizontal="right" vertical="center"/>
    </xf>
    <xf numFmtId="176" fontId="9" fillId="0" borderId="15" xfId="0" applyNumberFormat="1" applyFont="1" applyFill="1" applyBorder="1" applyAlignment="1">
      <alignment vertical="center"/>
    </xf>
    <xf numFmtId="2" fontId="9" fillId="0" borderId="15" xfId="0" applyNumberFormat="1" applyFont="1" applyFill="1" applyBorder="1" applyAlignment="1">
      <alignment vertical="center"/>
    </xf>
    <xf numFmtId="2" fontId="9" fillId="0" borderId="15" xfId="0" applyNumberFormat="1" applyFont="1" applyFill="1" applyBorder="1" applyAlignment="1">
      <alignment horizontal="right" vertical="center" wrapText="1"/>
    </xf>
    <xf numFmtId="3" fontId="9" fillId="0" borderId="15" xfId="0" applyNumberFormat="1" applyFont="1" applyFill="1" applyBorder="1" applyAlignment="1">
      <alignment vertical="center" wrapText="1"/>
    </xf>
    <xf numFmtId="177" fontId="9" fillId="0" borderId="15" xfId="0" applyNumberFormat="1" applyFont="1" applyFill="1" applyBorder="1" applyAlignment="1">
      <alignment vertical="center"/>
    </xf>
    <xf numFmtId="1" fontId="9" fillId="0" borderId="15" xfId="0" applyNumberFormat="1" applyFont="1" applyFill="1" applyBorder="1" applyAlignment="1">
      <alignment vertical="center"/>
    </xf>
    <xf numFmtId="0" fontId="9" fillId="0" borderId="15" xfId="0" applyFont="1" applyFill="1" applyBorder="1" applyAlignment="1">
      <alignment horizontal="right" vertical="center"/>
    </xf>
    <xf numFmtId="174" fontId="9" fillId="0" borderId="15" xfId="0" applyNumberFormat="1" applyFont="1" applyFill="1" applyBorder="1" applyAlignment="1">
      <alignment horizontal="right" vertical="center" wrapText="1"/>
    </xf>
    <xf numFmtId="2" fontId="9" fillId="0" borderId="18" xfId="0" applyNumberFormat="1" applyFont="1" applyFill="1" applyBorder="1" applyAlignment="1">
      <alignment horizontal="right" vertical="center"/>
    </xf>
    <xf numFmtId="0" fontId="9" fillId="0" borderId="0" xfId="0" applyFont="1" applyFill="1" applyAlignment="1">
      <alignment vertical="center"/>
    </xf>
    <xf numFmtId="175" fontId="21" fillId="0" borderId="15" xfId="94" applyNumberFormat="1" applyFont="1" applyFill="1" applyBorder="1" applyAlignment="1">
      <alignment horizontal="right" vertical="center"/>
      <protection/>
    </xf>
    <xf numFmtId="49" fontId="60" fillId="0" borderId="15" xfId="0" applyNumberFormat="1" applyFont="1" applyFill="1" applyBorder="1" applyAlignment="1">
      <alignment horizontal="left" vertical="center" wrapText="1"/>
    </xf>
    <xf numFmtId="175" fontId="60" fillId="0" borderId="15" xfId="0" applyNumberFormat="1" applyFont="1" applyFill="1" applyBorder="1" applyAlignment="1">
      <alignment vertical="center"/>
    </xf>
    <xf numFmtId="175" fontId="21" fillId="0" borderId="15" xfId="94" applyNumberFormat="1" applyFont="1" applyFill="1" applyBorder="1" applyAlignment="1">
      <alignment vertical="center"/>
      <protection/>
    </xf>
    <xf numFmtId="3" fontId="21" fillId="0" borderId="22" xfId="0" applyNumberFormat="1" applyFont="1" applyFill="1" applyBorder="1" applyAlignment="1">
      <alignment vertical="center"/>
    </xf>
    <xf numFmtId="3" fontId="21" fillId="0" borderId="27" xfId="0" applyNumberFormat="1" applyFont="1" applyFill="1" applyBorder="1" applyAlignment="1">
      <alignment vertical="center"/>
    </xf>
    <xf numFmtId="3" fontId="21" fillId="0" borderId="15" xfId="94" applyNumberFormat="1" applyFont="1" applyFill="1" applyBorder="1" applyAlignment="1">
      <alignment vertical="center"/>
      <protection/>
    </xf>
    <xf numFmtId="3" fontId="21" fillId="0" borderId="0" xfId="94" applyNumberFormat="1" applyFont="1" applyFill="1" applyAlignment="1">
      <alignment vertical="center"/>
      <protection/>
    </xf>
    <xf numFmtId="3" fontId="21" fillId="0" borderId="21" xfId="0" applyNumberFormat="1" applyFont="1" applyFill="1" applyBorder="1" applyAlignment="1">
      <alignment vertical="center"/>
    </xf>
    <xf numFmtId="0" fontId="21" fillId="0" borderId="15" xfId="0" applyFont="1" applyFill="1" applyBorder="1" applyAlignment="1">
      <alignment horizontal="left" vertical="center"/>
    </xf>
    <xf numFmtId="175" fontId="61" fillId="0" borderId="15" xfId="94" applyNumberFormat="1" applyFont="1" applyFill="1" applyBorder="1" applyAlignment="1">
      <alignment vertical="center"/>
      <protection/>
    </xf>
    <xf numFmtId="175" fontId="85" fillId="0" borderId="15" xfId="94" applyNumberFormat="1" applyFont="1" applyFill="1" applyBorder="1" applyAlignment="1">
      <alignment vertical="center"/>
      <protection/>
    </xf>
    <xf numFmtId="49" fontId="60" fillId="0" borderId="15" xfId="0" applyNumberFormat="1" applyFont="1" applyFill="1" applyBorder="1" applyAlignment="1" quotePrefix="1">
      <alignment horizontal="left" vertical="center" wrapText="1"/>
    </xf>
    <xf numFmtId="3" fontId="61" fillId="0" borderId="0" xfId="94" applyNumberFormat="1" applyFont="1" applyFill="1" applyAlignment="1">
      <alignment horizontal="right" vertical="center"/>
      <protection/>
    </xf>
    <xf numFmtId="176" fontId="85" fillId="0" borderId="15" xfId="0" applyNumberFormat="1" applyFont="1" applyFill="1" applyBorder="1" applyAlignment="1">
      <alignment vertical="center"/>
    </xf>
    <xf numFmtId="0" fontId="85" fillId="0" borderId="26" xfId="0" applyFont="1" applyFill="1" applyBorder="1" applyAlignment="1">
      <alignment horizontal="center" vertical="center" wrapText="1"/>
    </xf>
    <xf numFmtId="177" fontId="21" fillId="0" borderId="0" xfId="0" applyNumberFormat="1" applyFont="1" applyFill="1" applyBorder="1" applyAlignment="1">
      <alignment vertical="center"/>
    </xf>
    <xf numFmtId="177" fontId="21" fillId="0" borderId="0" xfId="0" applyNumberFormat="1" applyFont="1" applyFill="1" applyAlignment="1">
      <alignment vertical="center"/>
    </xf>
    <xf numFmtId="177" fontId="60" fillId="0" borderId="0" xfId="0" applyNumberFormat="1" applyFont="1" applyFill="1" applyAlignment="1">
      <alignment vertical="center"/>
    </xf>
    <xf numFmtId="177" fontId="60" fillId="0" borderId="0" xfId="0" applyNumberFormat="1" applyFont="1" applyFill="1" applyBorder="1" applyAlignment="1">
      <alignment vertical="center"/>
    </xf>
    <xf numFmtId="0" fontId="86" fillId="0" borderId="0" xfId="0" applyFont="1" applyFill="1" applyAlignment="1">
      <alignment horizontal="center" vertical="center" wrapText="1"/>
    </xf>
    <xf numFmtId="0" fontId="87" fillId="0" borderId="0" xfId="0" applyFont="1" applyFill="1" applyAlignment="1">
      <alignment horizontal="center" vertical="center" wrapText="1"/>
    </xf>
    <xf numFmtId="2" fontId="21" fillId="0" borderId="15" xfId="0" applyNumberFormat="1" applyFont="1" applyFill="1" applyBorder="1" applyAlignment="1">
      <alignment horizontal="center" vertical="center"/>
    </xf>
    <xf numFmtId="2" fontId="61" fillId="0" borderId="0" xfId="0" applyNumberFormat="1" applyFont="1" applyFill="1" applyBorder="1" applyAlignment="1">
      <alignment horizontal="center" vertical="center"/>
    </xf>
    <xf numFmtId="175" fontId="21" fillId="0" borderId="15" xfId="49" applyNumberFormat="1" applyFont="1" applyFill="1" applyBorder="1" applyAlignment="1">
      <alignment horizontal="right" vertical="center" wrapText="1"/>
    </xf>
    <xf numFmtId="3" fontId="21" fillId="0" borderId="15" xfId="94" applyNumberFormat="1" applyFont="1" applyFill="1" applyBorder="1" applyAlignment="1">
      <alignment horizontal="right" vertical="center"/>
      <protection/>
    </xf>
    <xf numFmtId="3" fontId="62" fillId="0" borderId="15" xfId="0" applyNumberFormat="1" applyFont="1" applyFill="1" applyBorder="1" applyAlignment="1">
      <alignment horizontal="right" vertical="center"/>
    </xf>
    <xf numFmtId="202" fontId="60" fillId="0" borderId="15" xfId="0" applyNumberFormat="1" applyFont="1" applyFill="1" applyBorder="1" applyAlignment="1">
      <alignment horizontal="right" vertical="center" wrapText="1"/>
    </xf>
    <xf numFmtId="0" fontId="20" fillId="0" borderId="0" xfId="0" applyFont="1" applyFill="1" applyAlignment="1">
      <alignment horizontal="center" vertical="center"/>
    </xf>
    <xf numFmtId="0" fontId="20" fillId="0" borderId="0" xfId="0" applyFont="1" applyFill="1" applyAlignment="1">
      <alignment vertical="center" wrapText="1"/>
    </xf>
    <xf numFmtId="0" fontId="61" fillId="0" borderId="9" xfId="0" applyFont="1" applyFill="1" applyBorder="1" applyAlignment="1">
      <alignment horizontal="center" vertical="center" wrapText="1"/>
    </xf>
    <xf numFmtId="0" fontId="61" fillId="0" borderId="17" xfId="0" applyFont="1" applyFill="1" applyBorder="1" applyAlignment="1">
      <alignment vertical="center" wrapText="1"/>
    </xf>
    <xf numFmtId="0" fontId="61" fillId="0" borderId="15" xfId="0" applyFont="1" applyFill="1" applyBorder="1" applyAlignment="1">
      <alignment vertical="center" wrapText="1"/>
    </xf>
    <xf numFmtId="2" fontId="61" fillId="0" borderId="17" xfId="0" applyNumberFormat="1" applyFont="1" applyFill="1" applyBorder="1" applyAlignment="1">
      <alignment vertical="center" wrapText="1"/>
    </xf>
    <xf numFmtId="175" fontId="61" fillId="0" borderId="15" xfId="0" applyNumberFormat="1" applyFont="1" applyFill="1" applyBorder="1" applyAlignment="1">
      <alignment vertical="center" wrapText="1"/>
    </xf>
    <xf numFmtId="2" fontId="61" fillId="0" borderId="15" xfId="0" applyNumberFormat="1" applyFont="1" applyFill="1" applyBorder="1" applyAlignment="1">
      <alignment vertical="center" wrapText="1"/>
    </xf>
    <xf numFmtId="175" fontId="60" fillId="0" borderId="15" xfId="49" applyNumberFormat="1" applyFont="1" applyFill="1" applyBorder="1" applyAlignment="1">
      <alignment vertical="center" wrapText="1"/>
    </xf>
    <xf numFmtId="175" fontId="63" fillId="0" borderId="15" xfId="0" applyNumberFormat="1" applyFont="1" applyFill="1" applyBorder="1" applyAlignment="1">
      <alignment vertical="center" wrapText="1"/>
    </xf>
    <xf numFmtId="199" fontId="21" fillId="0" borderId="15" xfId="49" applyNumberFormat="1" applyFont="1" applyFill="1" applyBorder="1" applyAlignment="1">
      <alignment vertical="center" wrapText="1"/>
    </xf>
    <xf numFmtId="176" fontId="61" fillId="0" borderId="15" xfId="0" applyNumberFormat="1" applyFont="1" applyFill="1" applyBorder="1" applyAlignment="1">
      <alignment vertical="center" wrapText="1"/>
    </xf>
    <xf numFmtId="178" fontId="21" fillId="0" borderId="15" xfId="49" applyNumberFormat="1" applyFont="1" applyFill="1" applyBorder="1" applyAlignment="1">
      <alignment vertical="center" wrapText="1"/>
    </xf>
    <xf numFmtId="3" fontId="61" fillId="0" borderId="15" xfId="0" applyNumberFormat="1" applyFont="1" applyFill="1" applyBorder="1" applyAlignment="1">
      <alignment vertical="center" wrapText="1"/>
    </xf>
    <xf numFmtId="178" fontId="21" fillId="0" borderId="15" xfId="0" applyNumberFormat="1" applyFont="1" applyFill="1" applyBorder="1" applyAlignment="1">
      <alignment vertical="center" wrapText="1"/>
    </xf>
    <xf numFmtId="1" fontId="21" fillId="0" borderId="15" xfId="0" applyNumberFormat="1" applyFont="1" applyFill="1" applyBorder="1" applyAlignment="1">
      <alignment vertical="center" wrapText="1"/>
    </xf>
    <xf numFmtId="1" fontId="61" fillId="0" borderId="15" xfId="0" applyNumberFormat="1" applyFont="1" applyFill="1" applyBorder="1" applyAlignment="1">
      <alignment vertical="center" wrapText="1"/>
    </xf>
    <xf numFmtId="204" fontId="61" fillId="0" borderId="15" xfId="0" applyNumberFormat="1" applyFont="1" applyFill="1" applyBorder="1" applyAlignment="1">
      <alignment vertical="center" wrapText="1"/>
    </xf>
    <xf numFmtId="3" fontId="21" fillId="0" borderId="22" xfId="0" applyNumberFormat="1" applyFont="1" applyFill="1" applyBorder="1" applyAlignment="1">
      <alignment vertical="center" wrapText="1"/>
    </xf>
    <xf numFmtId="3" fontId="21" fillId="0" borderId="21" xfId="0" applyNumberFormat="1" applyFont="1" applyFill="1" applyBorder="1" applyAlignment="1">
      <alignment vertical="center" wrapText="1"/>
    </xf>
    <xf numFmtId="177" fontId="21" fillId="0" borderId="15" xfId="0" applyNumberFormat="1" applyFont="1" applyFill="1" applyBorder="1" applyAlignment="1">
      <alignment vertical="center" wrapText="1"/>
    </xf>
    <xf numFmtId="174" fontId="21" fillId="0" borderId="15" xfId="49" applyNumberFormat="1" applyFont="1" applyFill="1" applyBorder="1" applyAlignment="1">
      <alignment vertical="center" wrapText="1"/>
    </xf>
    <xf numFmtId="174" fontId="21" fillId="0" borderId="15" xfId="0" applyNumberFormat="1" applyFont="1" applyFill="1" applyBorder="1" applyAlignment="1">
      <alignment vertical="center" wrapText="1"/>
    </xf>
    <xf numFmtId="178" fontId="61" fillId="0" borderId="15" xfId="0" applyNumberFormat="1" applyFont="1" applyFill="1" applyBorder="1" applyAlignment="1">
      <alignment vertical="center" wrapText="1"/>
    </xf>
    <xf numFmtId="203" fontId="61" fillId="0" borderId="15" xfId="0" applyNumberFormat="1" applyFont="1" applyFill="1" applyBorder="1" applyAlignment="1">
      <alignment vertical="center" wrapText="1"/>
    </xf>
    <xf numFmtId="178" fontId="60" fillId="0" borderId="15" xfId="49" applyNumberFormat="1" applyFont="1" applyFill="1" applyBorder="1" applyAlignment="1">
      <alignment vertical="center" wrapText="1"/>
    </xf>
    <xf numFmtId="3" fontId="21" fillId="0" borderId="15" xfId="92" applyNumberFormat="1" applyFont="1" applyFill="1" applyBorder="1" applyAlignment="1">
      <alignment vertical="center" wrapText="1"/>
      <protection/>
    </xf>
    <xf numFmtId="178" fontId="60" fillId="0" borderId="15" xfId="0" applyNumberFormat="1" applyFont="1" applyFill="1" applyBorder="1" applyAlignment="1">
      <alignment vertical="center" wrapText="1"/>
    </xf>
    <xf numFmtId="178" fontId="63" fillId="0" borderId="15" xfId="0" applyNumberFormat="1" applyFont="1" applyFill="1" applyBorder="1" applyAlignment="1">
      <alignment vertical="center" wrapText="1"/>
    </xf>
    <xf numFmtId="202" fontId="60" fillId="0" borderId="15" xfId="0" applyNumberFormat="1" applyFont="1" applyFill="1" applyBorder="1" applyAlignment="1">
      <alignment vertical="center" wrapText="1"/>
    </xf>
    <xf numFmtId="4" fontId="61" fillId="0" borderId="15" xfId="0" applyNumberFormat="1" applyFont="1" applyFill="1" applyBorder="1" applyAlignment="1">
      <alignment vertical="center" wrapText="1"/>
    </xf>
    <xf numFmtId="1" fontId="21" fillId="0" borderId="15" xfId="49" applyNumberFormat="1" applyFont="1" applyFill="1" applyBorder="1" applyAlignment="1">
      <alignment vertical="center" wrapText="1"/>
    </xf>
    <xf numFmtId="176" fontId="21" fillId="0" borderId="15" xfId="0" applyNumberFormat="1" applyFont="1" applyFill="1" applyBorder="1" applyAlignment="1">
      <alignment vertical="center" wrapText="1"/>
    </xf>
    <xf numFmtId="177" fontId="61" fillId="0" borderId="15" xfId="0" applyNumberFormat="1" applyFont="1" applyFill="1" applyBorder="1" applyAlignment="1">
      <alignment vertical="center" wrapText="1"/>
    </xf>
    <xf numFmtId="4" fontId="21" fillId="0" borderId="15" xfId="0" applyNumberFormat="1" applyFont="1" applyFill="1" applyBorder="1" applyAlignment="1">
      <alignment vertical="center" wrapText="1"/>
    </xf>
    <xf numFmtId="199" fontId="61" fillId="0" borderId="15" xfId="0" applyNumberFormat="1" applyFont="1" applyFill="1" applyBorder="1" applyAlignment="1">
      <alignment vertical="center" wrapText="1"/>
    </xf>
    <xf numFmtId="174" fontId="61" fillId="0" borderId="15" xfId="0" applyNumberFormat="1" applyFont="1" applyFill="1" applyBorder="1" applyAlignment="1">
      <alignment vertical="center" wrapText="1"/>
    </xf>
    <xf numFmtId="2" fontId="21" fillId="0" borderId="18" xfId="0" applyNumberFormat="1" applyFont="1" applyFill="1" applyBorder="1" applyAlignment="1">
      <alignment vertical="center" wrapText="1"/>
    </xf>
    <xf numFmtId="4" fontId="61" fillId="0" borderId="18" xfId="0" applyNumberFormat="1" applyFont="1" applyFill="1" applyBorder="1" applyAlignment="1">
      <alignment vertical="center" wrapText="1"/>
    </xf>
    <xf numFmtId="0" fontId="16" fillId="0" borderId="0" xfId="0" applyFont="1" applyFill="1" applyAlignment="1">
      <alignment vertical="center"/>
    </xf>
    <xf numFmtId="3" fontId="21" fillId="0" borderId="15" xfId="49" applyNumberFormat="1" applyFont="1" applyFill="1" applyBorder="1" applyAlignment="1">
      <alignment horizontal="right" vertical="center" wrapText="1"/>
    </xf>
    <xf numFmtId="3" fontId="60" fillId="0" borderId="15" xfId="49" applyNumberFormat="1" applyFont="1" applyFill="1" applyBorder="1" applyAlignment="1">
      <alignment horizontal="right" vertical="center" wrapText="1"/>
    </xf>
    <xf numFmtId="4" fontId="88" fillId="0" borderId="15" xfId="0" applyNumberFormat="1" applyFont="1" applyFill="1" applyBorder="1" applyAlignment="1">
      <alignment horizontal="right" vertical="center" wrapText="1"/>
    </xf>
    <xf numFmtId="1" fontId="21" fillId="0" borderId="0" xfId="0" applyNumberFormat="1" applyFont="1" applyFill="1" applyAlignment="1">
      <alignment vertical="center"/>
    </xf>
    <xf numFmtId="0" fontId="90" fillId="0" borderId="37" xfId="0" applyFont="1" applyBorder="1" applyAlignment="1">
      <alignment vertical="top" wrapText="1"/>
    </xf>
    <xf numFmtId="0" fontId="90" fillId="0" borderId="38" xfId="0" applyFont="1" applyBorder="1" applyAlignment="1">
      <alignment wrapText="1"/>
    </xf>
    <xf numFmtId="4" fontId="66" fillId="0" borderId="38" xfId="0" applyNumberFormat="1" applyFont="1" applyBorder="1" applyAlignment="1">
      <alignment horizontal="right"/>
    </xf>
    <xf numFmtId="0" fontId="90" fillId="0" borderId="39" xfId="0" applyFont="1" applyBorder="1" applyAlignment="1">
      <alignment horizontal="right" wrapText="1"/>
    </xf>
    <xf numFmtId="0" fontId="90" fillId="0" borderId="40" xfId="0" applyFont="1" applyBorder="1" applyAlignment="1">
      <alignment horizontal="justify" wrapText="1"/>
    </xf>
    <xf numFmtId="4" fontId="66" fillId="0" borderId="40" xfId="0" applyNumberFormat="1" applyFont="1" applyBorder="1" applyAlignment="1">
      <alignment horizontal="right"/>
    </xf>
    <xf numFmtId="0" fontId="91" fillId="0" borderId="39" xfId="0" applyFont="1" applyBorder="1" applyAlignment="1">
      <alignment horizontal="right" wrapText="1"/>
    </xf>
    <xf numFmtId="0" fontId="91" fillId="0" borderId="40" xfId="0" applyFont="1" applyBorder="1" applyAlignment="1">
      <alignment horizontal="justify" wrapText="1"/>
    </xf>
    <xf numFmtId="4" fontId="89" fillId="0" borderId="40" xfId="0" applyNumberFormat="1" applyFont="1" applyBorder="1" applyAlignment="1">
      <alignment horizontal="right"/>
    </xf>
    <xf numFmtId="0" fontId="91" fillId="0" borderId="40" xfId="0" applyFont="1" applyBorder="1" applyAlignment="1">
      <alignment wrapText="1"/>
    </xf>
    <xf numFmtId="0" fontId="89" fillId="0" borderId="40" xfId="0" applyFont="1" applyBorder="1" applyAlignment="1">
      <alignment horizontal="right"/>
    </xf>
    <xf numFmtId="3" fontId="0" fillId="0" borderId="0" xfId="0" applyNumberFormat="1" applyFill="1" applyAlignment="1">
      <alignment/>
    </xf>
    <xf numFmtId="43" fontId="21" fillId="0" borderId="0" xfId="0" applyNumberFormat="1" applyFont="1" applyFill="1" applyAlignment="1">
      <alignment vertical="center"/>
    </xf>
    <xf numFmtId="0" fontId="21" fillId="0" borderId="26" xfId="0" applyFont="1" applyFill="1" applyBorder="1" applyAlignment="1">
      <alignment horizontal="center" vertical="center" wrapText="1"/>
    </xf>
    <xf numFmtId="0" fontId="21" fillId="0" borderId="41" xfId="0" applyFont="1" applyFill="1" applyBorder="1" applyAlignment="1">
      <alignment horizontal="center" vertical="center" wrapText="1"/>
    </xf>
    <xf numFmtId="0" fontId="30" fillId="0" borderId="42" xfId="0" applyFont="1" applyBorder="1" applyAlignment="1">
      <alignment horizontal="left" vertical="center" wrapText="1"/>
    </xf>
    <xf numFmtId="0" fontId="15" fillId="0" borderId="0" xfId="0" applyFont="1" applyAlignment="1">
      <alignment horizontal="right" vertical="center"/>
    </xf>
    <xf numFmtId="0" fontId="16" fillId="0" borderId="0" xfId="0" applyFont="1" applyAlignment="1">
      <alignment horizontal="center" vertical="center"/>
    </xf>
    <xf numFmtId="0" fontId="21" fillId="0" borderId="26" xfId="0" applyFont="1" applyBorder="1" applyAlignment="1">
      <alignment horizontal="center" vertical="center" wrapText="1"/>
    </xf>
    <xf numFmtId="0" fontId="21" fillId="0" borderId="41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43" xfId="0" applyFont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center" vertical="center"/>
    </xf>
    <xf numFmtId="0" fontId="66" fillId="0" borderId="1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left" vertical="center"/>
    </xf>
    <xf numFmtId="0" fontId="66" fillId="0" borderId="0" xfId="0" applyFont="1" applyFill="1" applyBorder="1" applyAlignment="1">
      <alignment horizontal="center" vertical="center" wrapText="1"/>
    </xf>
    <xf numFmtId="0" fontId="67" fillId="0" borderId="0" xfId="0" applyFont="1" applyFill="1" applyBorder="1" applyAlignment="1">
      <alignment horizontal="center" vertical="center" wrapText="1"/>
    </xf>
    <xf numFmtId="0" fontId="60" fillId="24" borderId="27" xfId="89" applyNumberFormat="1" applyFont="1" applyFill="1" applyBorder="1" applyAlignment="1">
      <alignment horizontal="left" vertical="center" wrapText="1"/>
      <protection/>
    </xf>
    <xf numFmtId="0" fontId="60" fillId="24" borderId="23" xfId="89" applyNumberFormat="1" applyFont="1" applyFill="1" applyBorder="1" applyAlignment="1">
      <alignment horizontal="left" vertical="center" wrapText="1"/>
      <protection/>
    </xf>
    <xf numFmtId="0" fontId="61" fillId="24" borderId="14" xfId="89" applyFont="1" applyFill="1" applyBorder="1" applyAlignment="1">
      <alignment horizontal="center" vertical="center" wrapText="1"/>
      <protection/>
    </xf>
    <xf numFmtId="0" fontId="61" fillId="24" borderId="43" xfId="89" applyFont="1" applyFill="1" applyBorder="1" applyAlignment="1">
      <alignment horizontal="center" vertical="center" wrapText="1"/>
      <protection/>
    </xf>
    <xf numFmtId="0" fontId="61" fillId="24" borderId="27" xfId="89" applyNumberFormat="1" applyFont="1" applyFill="1" applyBorder="1" applyAlignment="1">
      <alignment horizontal="center" vertical="center" wrapText="1"/>
      <protection/>
    </xf>
    <xf numFmtId="0" fontId="61" fillId="24" borderId="23" xfId="89" applyNumberFormat="1" applyFont="1" applyFill="1" applyBorder="1" applyAlignment="1">
      <alignment horizontal="center" vertical="center" wrapText="1"/>
      <protection/>
    </xf>
    <xf numFmtId="0" fontId="9" fillId="24" borderId="27" xfId="89" applyNumberFormat="1" applyFont="1" applyFill="1" applyBorder="1" applyAlignment="1">
      <alignment horizontal="left" vertical="center" wrapText="1"/>
      <protection/>
    </xf>
    <xf numFmtId="0" fontId="9" fillId="24" borderId="23" xfId="89" applyNumberFormat="1" applyFont="1" applyFill="1" applyBorder="1" applyAlignment="1">
      <alignment horizontal="left" vertical="center" wrapText="1"/>
      <protection/>
    </xf>
    <xf numFmtId="0" fontId="60" fillId="24" borderId="27" xfId="89" applyNumberFormat="1" applyFont="1" applyFill="1" applyBorder="1" applyAlignment="1">
      <alignment horizontal="right" vertical="center" wrapText="1"/>
      <protection/>
    </xf>
    <xf numFmtId="0" fontId="62" fillId="24" borderId="27" xfId="89" applyNumberFormat="1" applyFont="1" applyFill="1" applyBorder="1" applyAlignment="1">
      <alignment horizontal="left" vertical="center" wrapText="1"/>
      <protection/>
    </xf>
    <xf numFmtId="0" fontId="62" fillId="24" borderId="23" xfId="89" applyNumberFormat="1" applyFont="1" applyFill="1" applyBorder="1" applyAlignment="1">
      <alignment horizontal="left" vertical="center" wrapText="1"/>
      <protection/>
    </xf>
    <xf numFmtId="0" fontId="21" fillId="24" borderId="27" xfId="89" applyFont="1" applyFill="1" applyBorder="1" applyAlignment="1">
      <alignment horizontal="right" vertical="center" wrapText="1"/>
      <protection/>
    </xf>
    <xf numFmtId="0" fontId="21" fillId="24" borderId="23" xfId="89" applyFont="1" applyFill="1" applyBorder="1" applyAlignment="1">
      <alignment horizontal="center" vertical="center" wrapText="1"/>
      <protection/>
    </xf>
    <xf numFmtId="0" fontId="21" fillId="24" borderId="27" xfId="89" applyNumberFormat="1" applyFont="1" applyFill="1" applyBorder="1" applyAlignment="1">
      <alignment horizontal="right" vertical="center" wrapText="1"/>
      <protection/>
    </xf>
    <xf numFmtId="0" fontId="21" fillId="24" borderId="23" xfId="89" applyNumberFormat="1" applyFont="1" applyFill="1" applyBorder="1" applyAlignment="1">
      <alignment horizontal="left" vertical="center" wrapText="1"/>
      <protection/>
    </xf>
    <xf numFmtId="0" fontId="35" fillId="24" borderId="0" xfId="89" applyFont="1" applyFill="1" applyAlignment="1">
      <alignment horizontal="right" vertical="center" wrapText="1"/>
      <protection/>
    </xf>
    <xf numFmtId="0" fontId="66" fillId="24" borderId="0" xfId="89" applyFont="1" applyFill="1" applyAlignment="1">
      <alignment horizontal="center" vertical="center" wrapText="1"/>
      <protection/>
    </xf>
    <xf numFmtId="0" fontId="67" fillId="24" borderId="0" xfId="89" applyFont="1" applyFill="1" applyAlignment="1">
      <alignment horizontal="center" vertical="center" wrapText="1"/>
      <protection/>
    </xf>
    <xf numFmtId="0" fontId="60" fillId="24" borderId="0" xfId="89" applyNumberFormat="1" applyFont="1" applyFill="1" applyBorder="1" applyAlignment="1">
      <alignment horizontal="right" vertical="center" wrapText="1"/>
      <protection/>
    </xf>
    <xf numFmtId="0" fontId="61" fillId="24" borderId="0" xfId="91" applyFont="1" applyFill="1" applyAlignment="1">
      <alignment horizontal="center" vertical="center" wrapText="1"/>
      <protection/>
    </xf>
    <xf numFmtId="0" fontId="61" fillId="24" borderId="0" xfId="91" applyFont="1" applyFill="1" applyAlignment="1">
      <alignment horizontal="center" vertical="center"/>
      <protection/>
    </xf>
    <xf numFmtId="43" fontId="60" fillId="24" borderId="0" xfId="53" applyFont="1" applyFill="1" applyBorder="1" applyAlignment="1">
      <alignment horizontal="right" vertical="center"/>
    </xf>
    <xf numFmtId="43" fontId="60" fillId="24" borderId="1" xfId="53" applyFont="1" applyFill="1" applyBorder="1" applyAlignment="1">
      <alignment horizontal="right" vertical="center"/>
    </xf>
    <xf numFmtId="3" fontId="20" fillId="0" borderId="27" xfId="93" applyNumberFormat="1" applyFont="1" applyFill="1" applyBorder="1" applyAlignment="1">
      <alignment horizontal="center" vertical="center"/>
      <protection/>
    </xf>
    <xf numFmtId="3" fontId="20" fillId="0" borderId="29" xfId="93" applyNumberFormat="1" applyFont="1" applyFill="1" applyBorder="1" applyAlignment="1">
      <alignment horizontal="center" vertical="center"/>
      <protection/>
    </xf>
    <xf numFmtId="3" fontId="20" fillId="0" borderId="23" xfId="93" applyNumberFormat="1" applyFont="1" applyFill="1" applyBorder="1" applyAlignment="1">
      <alignment horizontal="center" vertical="center"/>
      <protection/>
    </xf>
    <xf numFmtId="3" fontId="20" fillId="0" borderId="27" xfId="93" applyNumberFormat="1" applyFont="1" applyFill="1" applyBorder="1" applyAlignment="1">
      <alignment horizontal="center" vertical="center" wrapText="1"/>
      <protection/>
    </xf>
    <xf numFmtId="3" fontId="20" fillId="0" borderId="29" xfId="93" applyNumberFormat="1" applyFont="1" applyFill="1" applyBorder="1" applyAlignment="1">
      <alignment horizontal="center" vertical="center" wrapText="1"/>
      <protection/>
    </xf>
    <xf numFmtId="3" fontId="20" fillId="0" borderId="23" xfId="93" applyNumberFormat="1" applyFont="1" applyFill="1" applyBorder="1" applyAlignment="1">
      <alignment horizontal="center" vertical="center" wrapText="1"/>
      <protection/>
    </xf>
    <xf numFmtId="0" fontId="16" fillId="0" borderId="14" xfId="93" applyFont="1" applyFill="1" applyBorder="1" applyAlignment="1">
      <alignment horizontal="center" vertical="center" wrapText="1"/>
      <protection/>
    </xf>
    <xf numFmtId="0" fontId="16" fillId="0" borderId="5" xfId="93" applyFont="1" applyFill="1" applyBorder="1" applyAlignment="1">
      <alignment horizontal="center" vertical="center" wrapText="1"/>
      <protection/>
    </xf>
    <xf numFmtId="0" fontId="16" fillId="0" borderId="43" xfId="93" applyFont="1" applyFill="1" applyBorder="1" applyAlignment="1">
      <alignment horizontal="center" vertical="center" wrapText="1"/>
      <protection/>
    </xf>
    <xf numFmtId="0" fontId="16" fillId="0" borderId="0" xfId="93" applyFont="1" applyFill="1" applyBorder="1" applyAlignment="1">
      <alignment horizontal="right" vertical="center" wrapText="1"/>
      <protection/>
    </xf>
    <xf numFmtId="0" fontId="37" fillId="0" borderId="0" xfId="93" applyFont="1" applyFill="1" applyBorder="1" applyAlignment="1">
      <alignment horizontal="right" vertical="center" wrapText="1"/>
      <protection/>
    </xf>
    <xf numFmtId="0" fontId="16" fillId="0" borderId="0" xfId="93" applyFont="1" applyFill="1" applyBorder="1" applyAlignment="1">
      <alignment horizontal="center" vertical="center" wrapText="1"/>
      <protection/>
    </xf>
    <xf numFmtId="0" fontId="31" fillId="0" borderId="26" xfId="0" applyFont="1" applyBorder="1" applyAlignment="1">
      <alignment horizontal="center" vertical="center" wrapText="1"/>
    </xf>
    <xf numFmtId="0" fontId="31" fillId="0" borderId="41" xfId="0" applyFont="1" applyBorder="1" applyAlignment="1">
      <alignment horizontal="center" vertical="center" wrapText="1"/>
    </xf>
    <xf numFmtId="0" fontId="29" fillId="0" borderId="44" xfId="0" applyFont="1" applyBorder="1" applyAlignment="1">
      <alignment horizontal="center" vertical="center" wrapText="1"/>
    </xf>
    <xf numFmtId="0" fontId="29" fillId="0" borderId="45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9" xfId="0" applyBorder="1" applyAlignment="1">
      <alignment horizontal="center"/>
    </xf>
    <xf numFmtId="0" fontId="0" fillId="0" borderId="0" xfId="0" applyAlignment="1">
      <alignment horizontal="center"/>
    </xf>
  </cellXfs>
  <cellStyles count="11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52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AeE­ [0]_INQUIRY ¿μ¾÷AßAø " xfId="40"/>
    <cellStyle name="AeE­_INQUIRY ¿µ¾÷AßAø " xfId="41"/>
    <cellStyle name="AÞ¸¶ [0]_INQUIRY ¿?¾÷AßAø " xfId="42"/>
    <cellStyle name="AÞ¸¶_INQUIRY ¿?¾÷AßAø " xfId="43"/>
    <cellStyle name="Bad" xfId="44"/>
    <cellStyle name="C?AØ_¿?¾÷CoE² " xfId="45"/>
    <cellStyle name="C￥AØ_¿μ¾÷CoE² " xfId="46"/>
    <cellStyle name="Calculation" xfId="47"/>
    <cellStyle name="Check Cell" xfId="48"/>
    <cellStyle name="Comma" xfId="49"/>
    <cellStyle name="Comma [0]" xfId="50"/>
    <cellStyle name="Comma 2" xfId="51"/>
    <cellStyle name="comma zerodec" xfId="52"/>
    <cellStyle name="Comma_Cocau2004(22-11)" xfId="53"/>
    <cellStyle name="Comma0" xfId="54"/>
    <cellStyle name="Currency" xfId="55"/>
    <cellStyle name="Currency [0]" xfId="56"/>
    <cellStyle name="Currency0" xfId="57"/>
    <cellStyle name="Currency1" xfId="58"/>
    <cellStyle name="Date" xfId="59"/>
    <cellStyle name="Dollar (zero dec)" xfId="60"/>
    <cellStyle name="Explanatory Text" xfId="61"/>
    <cellStyle name="Fixed" xfId="62"/>
    <cellStyle name="Followed Hyperlink" xfId="63"/>
    <cellStyle name="Good" xfId="64"/>
    <cellStyle name="Grey" xfId="65"/>
    <cellStyle name="Header1" xfId="66"/>
    <cellStyle name="Header2" xfId="67"/>
    <cellStyle name="Heading 1" xfId="68"/>
    <cellStyle name="Heading 2" xfId="69"/>
    <cellStyle name="Heading 3" xfId="70"/>
    <cellStyle name="Heading 4" xfId="71"/>
    <cellStyle name="HEADING1" xfId="72"/>
    <cellStyle name="HEADING2" xfId="73"/>
    <cellStyle name="Hyperlink" xfId="74"/>
    <cellStyle name="Input" xfId="75"/>
    <cellStyle name="Input [yellow]" xfId="76"/>
    <cellStyle name="Linked Cell" xfId="77"/>
    <cellStyle name="Loai CBDT" xfId="78"/>
    <cellStyle name="Loai CT" xfId="79"/>
    <cellStyle name="Loai GD" xfId="80"/>
    <cellStyle name="Monétaire [0]_TARIFFS DB" xfId="81"/>
    <cellStyle name="Monétaire_TARIFFS DB" xfId="82"/>
    <cellStyle name="n" xfId="83"/>
    <cellStyle name="Neutral" xfId="84"/>
    <cellStyle name="New Times Roman" xfId="85"/>
    <cellStyle name="no dec" xfId="86"/>
    <cellStyle name="Normal - Style1" xfId="87"/>
    <cellStyle name="Normal 2" xfId="88"/>
    <cellStyle name="Normal 3" xfId="89"/>
    <cellStyle name="Normal 83" xfId="90"/>
    <cellStyle name="Normal_Cocau2004(22-11)" xfId="91"/>
    <cellStyle name="Normal_KE HOAC TCC 2016-2020" xfId="92"/>
    <cellStyle name="Normal_Phu luc 2 (11.10.08)" xfId="93"/>
    <cellStyle name="Normal_SNN" xfId="94"/>
    <cellStyle name="Normal_SO LIEU CHÍNH THỨC" xfId="95"/>
    <cellStyle name="Normal_SO LIEU CHÍNH THỨC_1" xfId="96"/>
    <cellStyle name="Note" xfId="97"/>
    <cellStyle name="Output" xfId="98"/>
    <cellStyle name="Percent" xfId="99"/>
    <cellStyle name="Percent [2]" xfId="100"/>
    <cellStyle name="T" xfId="101"/>
    <cellStyle name="th" xfId="102"/>
    <cellStyle name="Title" xfId="103"/>
    <cellStyle name="Tong so" xfId="104"/>
    <cellStyle name="tong so 1" xfId="105"/>
    <cellStyle name="Total" xfId="106"/>
    <cellStyle name="viet" xfId="107"/>
    <cellStyle name="viet2" xfId="108"/>
    <cellStyle name="Warning Text" xfId="109"/>
    <cellStyle name="xuan" xfId="110"/>
    <cellStyle name=" [0.00]_ Att. 1- Cover" xfId="111"/>
    <cellStyle name="_ Att. 1- Cover" xfId="112"/>
    <cellStyle name="?_ Att. 1- Cover" xfId="113"/>
    <cellStyle name="똿뗦먛귟 [0.00]_PRODUCT DETAIL Q1" xfId="114"/>
    <cellStyle name="똿뗦먛귟_PRODUCT DETAIL Q1" xfId="115"/>
    <cellStyle name="믅됞 [0.00]_PRODUCT DETAIL Q1" xfId="116"/>
    <cellStyle name="믅됞_PRODUCT DETAIL Q1" xfId="117"/>
    <cellStyle name="백분율_95" xfId="118"/>
    <cellStyle name="뷭?_BOOKSHIP" xfId="119"/>
    <cellStyle name="콤마 [0]_1202" xfId="120"/>
    <cellStyle name="콤마_1202" xfId="121"/>
    <cellStyle name="통화 [0]_1202" xfId="122"/>
    <cellStyle name="통화_1202" xfId="123"/>
    <cellStyle name="표준_(정보부문)월별인원계획" xfId="124"/>
    <cellStyle name="一般_00Q3902REV.1" xfId="125"/>
    <cellStyle name="千分位[0]_00Q3902REV.1" xfId="126"/>
    <cellStyle name="千分位_00Q3902REV.1" xfId="127"/>
    <cellStyle name="貨幣 [0]_00Q3902REV.1" xfId="128"/>
    <cellStyle name="貨幣[0]_BRE" xfId="129"/>
    <cellStyle name="貨幣_00Q3902REV.1" xfId="13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externalLink" Target="externalLinks/externalLink3.xml" /><Relationship Id="rId17" Type="http://schemas.openxmlformats.org/officeDocument/2006/relationships/externalLink" Target="externalLinks/externalLink4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N:\MGT-DRT\MGT-IMPR\MGT-SC@\BA0397\INSULT'N\INS\ASK\PIPE-03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ananh\luu_th\My%20Documents\2011-2015\2011-2015\FINAL\My%20Documents\So%20tay%20ke%20hoach\So%20tay%20Kh%202007\3_Co%20cau%20nguon%20von%20theo%20nganh_linh%20vuc%20_chi%20Phu%20Ha_page66_7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iacong2\c\96Q2573\HE-7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ananh\luu_th\My%20Documents\2011-2015\2011-2015\FINAL\5nam2011-2015\2011\Thang8-2011\HopCP(30-8-2011)\cocauDT(28-8-201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LUAN CHUYEN"/>
      <sheetName val="KE QUY"/>
      <sheetName val="CPC"/>
      <sheetName val="LUONGGIAN TIEP"/>
      <sheetName val="CLUONG"/>
      <sheetName val="VAY VON"/>
      <sheetName val="O.THAO"/>
      <sheetName val="Q.TRUNG"/>
      <sheetName val="THUY"/>
      <sheetName val="Y.THANH"/>
      <sheetName val="621"/>
      <sheetName val="333"/>
      <sheetName val="627"/>
      <sheetName val="TTLUONG"/>
      <sheetName val="XL4Poppy"/>
      <sheetName val="1"/>
      <sheetName val="PIPE-03E"/>
      <sheetName val="Chart1"/>
      <sheetName val="Interim payment"/>
      <sheetName val="Letter"/>
      <sheetName val="Bid Sum"/>
      <sheetName val="Item B"/>
      <sheetName val="Dg A"/>
      <sheetName val="Dg B&amp;C"/>
      <sheetName val="Rates&amp;Prices"/>
      <sheetName val="Material at site"/>
      <sheetName val="KLHT"/>
      <sheetName val="THKP"/>
      <sheetName val="KL XL2000"/>
      <sheetName val="KLXL2001"/>
      <sheetName val="THKP2001"/>
      <sheetName val="KLphanbo"/>
      <sheetName val="Chiet tinh"/>
      <sheetName val="Van chuyen"/>
      <sheetName val="THKP (2)"/>
      <sheetName val="T.Bi"/>
      <sheetName val="Thiet ke"/>
      <sheetName val="CT"/>
      <sheetName val="K.luong"/>
      <sheetName val="TT L2"/>
      <sheetName val="TT L1"/>
      <sheetName val="Thue Ngoai"/>
      <sheetName val="KH"/>
      <sheetName val="DM"/>
      <sheetName val="DD&amp;TV"/>
      <sheetName val="CDSL"/>
      <sheetName val="PTSL"/>
      <sheetName val="THCP"/>
      <sheetName val="VT"/>
      <sheetName val="NL"/>
      <sheetName val="SoSanh"/>
      <sheetName val="QTVT"/>
      <sheetName val="QTNC"/>
      <sheetName val="BCC (2)"/>
      <sheetName val="Bao cao"/>
      <sheetName val="Bao cao 2"/>
      <sheetName val="BC3"/>
      <sheetName val="THKL"/>
      <sheetName val="Khoi luong"/>
      <sheetName val="Khoi luong mat"/>
      <sheetName val="Bang ke"/>
      <sheetName val="KLCL"/>
      <sheetName val="T.HopKL"/>
      <sheetName val="S.Luong"/>
      <sheetName val="PTCP2"/>
      <sheetName val="CPBVTC2"/>
      <sheetName val="D.Dap"/>
      <sheetName val="Q.Toan"/>
      <sheetName val="NCong"/>
      <sheetName val="Phan tich chi phi"/>
      <sheetName val="Chi phi nen theo BVTC"/>
      <sheetName val="CPTBVTC3"/>
      <sheetName val="nhan cong phu"/>
      <sheetName val="nhan cong Hung"/>
      <sheetName val="Nhan cong"/>
      <sheetName val="CCD2"/>
      <sheetName val="BCC"/>
      <sheetName val="Doi2"/>
      <sheetName val="Khoi luong nen theo BVTC"/>
      <sheetName val="116(300)"/>
      <sheetName val="116(200)"/>
      <sheetName val="116(150)"/>
      <sheetName val="00000000"/>
      <sheetName val="BC_KKTSCD"/>
      <sheetName val="Chitiet"/>
      <sheetName val="Sheet2 (2)"/>
      <sheetName val="Mau_BC_KKTSCD"/>
      <sheetName val="KH 2003 (moi max)"/>
      <sheetName val="KH12"/>
      <sheetName val="CN12"/>
      <sheetName val="HD12"/>
      <sheetName val="KH1"/>
      <sheetName val="Chi tiet - Dv lap"/>
      <sheetName val="TH KHTC"/>
      <sheetName val="000"/>
      <sheetName val="MD"/>
      <sheetName val="ND"/>
      <sheetName val="CONG"/>
      <sheetName val="DGCT"/>
      <sheetName val="Congty"/>
      <sheetName val="VPPN"/>
      <sheetName val="XN74"/>
      <sheetName val="XN54"/>
      <sheetName val="XN33"/>
      <sheetName val="NK96"/>
      <sheetName val="XL4Test5"/>
      <sheetName val="Gia VL"/>
      <sheetName val="Bang gia ca may"/>
      <sheetName val="Bang luong CB"/>
      <sheetName val="Bang P.tich CT"/>
      <sheetName val="D.toan chi tiet"/>
      <sheetName val="Bang TH Dtoan"/>
      <sheetName val="XXXXXXXX"/>
      <sheetName val="Dong Dau"/>
      <sheetName val="Dong Dau (2)"/>
      <sheetName val="Sau dong"/>
      <sheetName val="Ma xa"/>
      <sheetName val="My dinh"/>
      <sheetName val="Tong cong"/>
      <sheetName val="Bang VL"/>
      <sheetName val="VL(No V-c)"/>
      <sheetName val="He so"/>
      <sheetName val="PL Vua"/>
      <sheetName val="Chitieu-dam cac loai"/>
      <sheetName val="DG Dam"/>
      <sheetName val="DG chung"/>
      <sheetName val="DGdg"/>
      <sheetName val="VL-dac chung"/>
      <sheetName val="CocKN1m"/>
      <sheetName val="Coc40x40cm"/>
      <sheetName val="CT 1md &amp; dau cong"/>
      <sheetName val="Tong hop"/>
      <sheetName val="CT cong"/>
      <sheetName val="dg cong"/>
      <sheetName val="PTCT"/>
      <sheetName val="CDghino"/>
      <sheetName val="Tonghop"/>
      <sheetName val="TH (T1-6)"/>
      <sheetName val="ThueTB"/>
      <sheetName val="SCD5"/>
      <sheetName val=" NL"/>
      <sheetName val="CPVL-CPM"/>
      <sheetName val="PTVL"/>
      <sheetName val="TH"/>
      <sheetName val="CD1"/>
      <sheetName val=" NL (2)"/>
      <sheetName val="CDTHCT"/>
      <sheetName val="CDTHCT (3)"/>
      <sheetName val="Km0-Km1"/>
      <sheetName val="Km1-Km2"/>
      <sheetName val="BU CTPH"/>
      <sheetName val="CTPH"/>
      <sheetName val="BU tran3+360.22"/>
      <sheetName val="Tran3+360.22"/>
      <sheetName val="BU tran2+386.4"/>
      <sheetName val="Tran2+386.4"/>
      <sheetName val="Bu4-5"/>
      <sheetName val="DTcong 4-5"/>
      <sheetName val="BU3-4"/>
      <sheetName val="dtcong3-4"/>
      <sheetName val="bu2-3"/>
      <sheetName val="dtcong2-3"/>
      <sheetName val="Bu 1-2"/>
      <sheetName val="dtcong1-2"/>
      <sheetName val="bu0-1"/>
      <sheetName val="dtcong0-1"/>
      <sheetName val="KLc1"/>
      <sheetName val="klcong"/>
      <sheetName val="Bu 12-13"/>
      <sheetName val="DTcong 12-13"/>
      <sheetName val="BU13-13+"/>
      <sheetName val="DT cong13-13+"/>
      <sheetName val="BU- nhanh"/>
      <sheetName val="Bunh1-2"/>
      <sheetName val="dtcong nh1-2"/>
      <sheetName val="BUnh0-1"/>
      <sheetName val="dtcong nh0-1"/>
      <sheetName val="BU5-6"/>
      <sheetName val="DTcong5-6"/>
      <sheetName val="BU6-7"/>
      <sheetName val="DTcong6-7"/>
      <sheetName val="BU7-8"/>
      <sheetName val="DTcong7-8"/>
      <sheetName val="BU8-9"/>
      <sheetName val="DTcong8-9"/>
      <sheetName val="BU9-10"/>
      <sheetName val="DTcong9-10"/>
      <sheetName val="BU10-11"/>
      <sheetName val="DTcong10-11"/>
      <sheetName val="BU 11-12"/>
      <sheetName val="DTcong 11-12"/>
      <sheetName val="Mnh1-2+80"/>
      <sheetName val="Pr- CC"/>
      <sheetName val="Nnh1-2+80"/>
      <sheetName val="Mnh0-1"/>
      <sheetName val="Nnh0-1"/>
      <sheetName val="MD13-13+334"/>
      <sheetName val="ND13-13+334"/>
      <sheetName val="BU-TK"/>
      <sheetName val="MD12-13"/>
      <sheetName val="ND12-13"/>
      <sheetName val="MD11-12"/>
      <sheetName val="ND11-12"/>
      <sheetName val="MD10-11"/>
      <sheetName val="ND10-11"/>
      <sheetName val="MD9-10"/>
      <sheetName val="ND9-10"/>
      <sheetName val="MD8-9"/>
      <sheetName val="ND8-9"/>
      <sheetName val="MD7-8"/>
      <sheetName val="ND7-8"/>
      <sheetName val="MD6-7"/>
      <sheetName val="ND6-7"/>
      <sheetName val="MD5-6"/>
      <sheetName val="ND5-6"/>
      <sheetName val="MD4-5"/>
      <sheetName val="ND4-5"/>
      <sheetName val="MD 3-4"/>
      <sheetName val="ND 3-4"/>
      <sheetName val="MD2-3"/>
      <sheetName val="ND2-3"/>
      <sheetName val="MD 1-2"/>
      <sheetName val="ND 1-2"/>
      <sheetName val="MD 0-1"/>
      <sheetName val="ND 0-1"/>
      <sheetName val="km11-12"/>
      <sheetName val="km10-11"/>
      <sheetName val="KLN"/>
      <sheetName val="KL tong"/>
      <sheetName val="DTHH"/>
      <sheetName val="Bang1"/>
      <sheetName val="TAI TRONG"/>
      <sheetName val="NOI LUC"/>
      <sheetName val="TINH DUYET THTT CHINH"/>
      <sheetName val="TDUYET THTT PHU"/>
      <sheetName val="TINH DAO DONG VA DO VONG"/>
      <sheetName val="TINH NEO"/>
      <sheetName val="01"/>
      <sheetName val="02"/>
      <sheetName val="03"/>
      <sheetName val="04"/>
      <sheetName val="05"/>
      <sheetName val="Sheet13"/>
      <sheetName val="Sheet14"/>
      <sheetName val="Sheet15"/>
      <sheetName val="Sheet16"/>
      <sheetName val="Sheet17"/>
      <sheetName val="Sheet18"/>
      <sheetName val="Sheet19"/>
      <sheetName val="Sheet20"/>
      <sheetName val="tong hop thanh toan thue"/>
      <sheetName val="bang ke nop thue"/>
      <sheetName val="Tonh hop chi phi"/>
      <sheetName val="BK chi phi"/>
      <sheetName val="KTra DS va thue GTGT"/>
      <sheetName val="Kiãøm tra DS thue GTGT"/>
      <sheetName val="XUAT(gia von)"/>
      <sheetName val="nhap"/>
      <sheetName val="Xuat (gia ban)"/>
      <sheetName val="Dchinh TH N-X-T"/>
      <sheetName val="Tong hop N-X-T"/>
      <sheetName val="thue TH"/>
      <sheetName val="tong hop 2001"/>
      <sheetName val="qUYET TOAN THUE"/>
      <sheetName val="N-X-T=L"/>
      <sheetName val="372+132-181"/>
      <sheetName val="372+00-025-T"/>
      <sheetName val="371+920-1000-T"/>
      <sheetName val="371-340-386"/>
      <sheetName val="371+036-175"/>
      <sheetName val="371+920-1000-P"/>
      <sheetName val="371+650-800"/>
      <sheetName val="371+340-386"/>
      <sheetName val="371+00-150"/>
      <sheetName val="370+625-720"/>
      <sheetName val="370+402-550"/>
      <sheetName val="370+227-300"/>
      <sheetName val="370+00-10"/>
      <sheetName val="370+933-1000"/>
      <sheetName val="370+421-550"/>
      <sheetName val="370+246-280"/>
      <sheetName val="370+135-160"/>
      <sheetName val="369+700-730"/>
      <sheetName val="369+592-700"/>
      <sheetName val="369+400-542"/>
      <sheetName val="369+940-008"/>
      <sheetName val="369+800-908"/>
      <sheetName val="369+606-722"/>
      <sheetName val="369+411-526"/>
      <sheetName val="368+517-580"/>
      <sheetName val="368+822-900"/>
      <sheetName val="368+530-687"/>
      <sheetName val="368+00-25"/>
      <sheetName val="369+"/>
      <sheetName val="AC PC"/>
      <sheetName val="LT"/>
      <sheetName val="LP"/>
      <sheetName val="Dao-P"/>
      <sheetName val="AC66-436"/>
      <sheetName val="Dao-T"/>
      <sheetName val="cd viaK0-T6"/>
      <sheetName val="cdvia T6-Tc24"/>
      <sheetName val="cdvia Tc24-T46"/>
      <sheetName val="cdbtnL2ko-k0+361"/>
      <sheetName val="cd btnL2k0+361-T19"/>
      <sheetName val="Chart2"/>
      <sheetName val="be tong"/>
      <sheetName val="Thep"/>
      <sheetName val="Tong hop thep"/>
      <sheetName val="26+180-400.2"/>
      <sheetName val="26+180.Sub1"/>
      <sheetName val="26+180.Sub4"/>
      <sheetName val="26+180-400.5(k95)"/>
      <sheetName val="26+400-620.3(k95)"/>
      <sheetName val="26+400-640.1(k95)"/>
      <sheetName val="26+960-27+150.9"/>
      <sheetName val="26+960-27+150.10"/>
      <sheetName val="26+960-27+150.11"/>
      <sheetName val="26+960-27+150.12"/>
      <sheetName val="26+960-27+150.5(k95)"/>
      <sheetName val="26+960-27+150.4(k95)"/>
      <sheetName val="26+960-27+150.1(k95)"/>
      <sheetName val="27+500-700.5(k95)"/>
      <sheetName val="27+500-700.4(k95)"/>
      <sheetName val="27+500-700.3(k95)"/>
      <sheetName val="27+500-700.1(k95)"/>
      <sheetName val="27+740-920.3(k95)"/>
      <sheetName val="27+740-920.21"/>
      <sheetName val="27+920-28+040.6,7"/>
      <sheetName val="27+920-28+040,8,9"/>
      <sheetName val="27+920-28+040.10"/>
      <sheetName val="27+920-28+040,11"/>
      <sheetName val="27+920-28+160.Su3"/>
      <sheetName val="28+160-28+420,17Top"/>
      <sheetName val="28+160-28+420.5K95"/>
      <sheetName val="28+430-657.7"/>
      <sheetName val="Km28+430-657.8"/>
      <sheetName val="28+430-657.9"/>
      <sheetName val="28+430-667.10"/>
      <sheetName val="28+430-657.11"/>
      <sheetName val="28+430-657.4k95"/>
      <sheetName val="28+500-657.18"/>
      <sheetName val="28+520-657.19"/>
      <sheetName val="TM"/>
      <sheetName val="Bia"/>
      <sheetName val="BU-gian"/>
      <sheetName val="Bu-Ha"/>
      <sheetName val="PTVT"/>
      <sheetName val="Gia DAN"/>
      <sheetName val="Dan"/>
      <sheetName val="Cuoc"/>
      <sheetName val="Bugia"/>
      <sheetName val="KL57"/>
      <sheetName val="VL"/>
      <sheetName val="CTXD"/>
      <sheetName val=".."/>
      <sheetName val="CTDN"/>
      <sheetName val="san vuon"/>
      <sheetName val="khu phu tro"/>
      <sheetName val="Caodo"/>
      <sheetName val="Dat"/>
      <sheetName val="KL-CTTK"/>
      <sheetName val="BTH"/>
      <sheetName val="Thep "/>
      <sheetName val="Chi tiet Khoi luong"/>
      <sheetName val="TH khoi luong"/>
      <sheetName val="Chiet tinh vat lieu "/>
      <sheetName val="TH KL VL"/>
      <sheetName val="Thuyet minh"/>
      <sheetName val="CQ-HQ"/>
      <sheetName val="Phu luc"/>
      <sheetName val="Gia trÞ"/>
      <sheetName val="DS them luong qui 4-2002"/>
      <sheetName val="Phuc loi 2-9-02"/>
      <sheetName val="PCLB-2002"/>
      <sheetName val="Thuong nhan dip 21-12-02"/>
      <sheetName val="Thuong dip nhan danh hieu AHL§"/>
      <sheetName val="Thang luong thu 13 nam 2002"/>
      <sheetName val="Luong SX# dip Tet Qui Mui(dong)"/>
      <sheetName val="thkl (2)"/>
      <sheetName val="kht8"/>
      <sheetName val="long tec"/>
      <sheetName val="nlongt"/>
      <sheetName val="tuanb"/>
      <sheetName val="ntuanb"/>
      <sheetName val="nbinh"/>
      <sheetName val="nque"/>
      <sheetName val="ntien"/>
      <sheetName val="ntuanH"/>
      <sheetName val="nmuoi"/>
      <sheetName val="nnghia"/>
      <sheetName val="ntuanM"/>
      <sheetName val="nthi"/>
      <sheetName val="nchung"/>
      <sheetName val="nanh"/>
      <sheetName val="nthang"/>
      <sheetName val="nnguyen"/>
      <sheetName val="ntuc"/>
      <sheetName val="nngan"/>
      <sheetName val="nloi"/>
      <sheetName val="nphuock"/>
      <sheetName val="nphuoch"/>
      <sheetName val="nsonpd"/>
      <sheetName val="nphuock04"/>
      <sheetName val="nphuoch04"/>
      <sheetName val="nphuocpd04"/>
      <sheetName val="nphuocd04"/>
      <sheetName val="nphuoctr04"/>
      <sheetName val="nphuocb04"/>
      <sheetName val="phong"/>
      <sheetName val="DT"/>
      <sheetName val="THND"/>
      <sheetName val="THMD"/>
      <sheetName val="Phtro1"/>
      <sheetName val="DTKS1"/>
      <sheetName val="CT1m"/>
      <sheetName val="tscd"/>
      <sheetName val="KM"/>
      <sheetName val="KHOANMUC"/>
      <sheetName val="CPQL"/>
      <sheetName val="SANLUONG"/>
      <sheetName val="SSCP-SL"/>
      <sheetName val="CPSX"/>
      <sheetName val="KQKD"/>
      <sheetName val="CDSL (2)"/>
      <sheetName val="00000001"/>
      <sheetName val="00000002"/>
      <sheetName val="00000003"/>
      <sheetName val="00000004"/>
      <sheetName val="THCT"/>
      <sheetName val="cap cho cac DT"/>
      <sheetName val="Ung - hoan"/>
      <sheetName val="CP may"/>
      <sheetName val="SS"/>
      <sheetName val="NVL"/>
      <sheetName val="10000000"/>
      <sheetName val="dutoan1"/>
      <sheetName val="Anhtoan"/>
      <sheetName val="dutoan2"/>
      <sheetName val="vat tu"/>
      <sheetName val="CT Duong"/>
      <sheetName val="D.gia"/>
      <sheetName val="T.hop"/>
      <sheetName val="Khoan"/>
      <sheetName val="CtP.tro"/>
      <sheetName val="Nha moi"/>
      <sheetName val="NamBanThach"/>
      <sheetName val="KhoanDuong"/>
      <sheetName val="DeNghiDuong"/>
      <sheetName val="TT-BDH-B1"/>
      <sheetName val="TT-T.Tron So 2"/>
      <sheetName val="TT-Doi6-Dot-1"/>
      <sheetName val="ChietTinh"/>
      <sheetName val="Ct.Dam "/>
      <sheetName val="Ct.Duoi"/>
      <sheetName val="Ct.Tren"/>
      <sheetName val="CtVKdam"/>
      <sheetName val="asphal"/>
      <sheetName val="Gvua"/>
      <sheetName val="D.giaMay"/>
      <sheetName val="9"/>
      <sheetName val="10"/>
      <sheetName val="CDTHU CHI T1"/>
      <sheetName val="THUCHI 2"/>
      <sheetName val="THU CHI3"/>
      <sheetName val="THU CHI 4"/>
      <sheetName val="THU CHI5"/>
      <sheetName val="THU CHI 6"/>
      <sheetName val="TU CHI 7"/>
      <sheetName val="THU CHI9"/>
      <sheetName val="THU CHI 8"/>
      <sheetName val="THU CHI 10"/>
      <sheetName val="THU CHI 11"/>
      <sheetName val="THU CHI 12"/>
      <sheetName val="KL VL"/>
      <sheetName val="KHCTiet"/>
      <sheetName val="QT 9-6"/>
      <sheetName val="Thuong luu HB"/>
      <sheetName val="QT03"/>
      <sheetName val="QT"/>
      <sheetName val="PTmay"/>
      <sheetName val="KK"/>
      <sheetName val="QT Ky T"/>
      <sheetName val="BCKT"/>
      <sheetName val="bc vt TON BAI"/>
      <sheetName val="XXXXXXX0"/>
      <sheetName val="C45A-BH"/>
      <sheetName val="C46A-BH"/>
      <sheetName val="C47A-BH"/>
      <sheetName val="C48A-BH"/>
      <sheetName val="S-53-1"/>
      <sheetName val="XN79"/>
      <sheetName val="CTMT"/>
      <sheetName val="cong Q2"/>
      <sheetName val="T.U luong Q1"/>
      <sheetName val="T.U luong Q2"/>
      <sheetName val="T.U luong Q3"/>
      <sheetName val="CHIT"/>
      <sheetName val="THXH"/>
      <sheetName val="BHXH"/>
      <sheetName val="sent to"/>
      <sheetName val="Quang Tri"/>
      <sheetName val="TTHue"/>
      <sheetName val="Da Nang"/>
      <sheetName val="Quang Nam"/>
      <sheetName val="Quang Ngai"/>
      <sheetName val="TH DH-QN"/>
      <sheetName val="KP HD"/>
      <sheetName val="DB HD"/>
      <sheetName val="Xep hang 201"/>
      <sheetName val="toan Cty"/>
      <sheetName val="Cong ty"/>
      <sheetName val="XN 2"/>
      <sheetName val="XN ong CHi"/>
      <sheetName val="N XDCT&amp; XKLD"/>
      <sheetName val="CN HCM"/>
      <sheetName val="HITECO"/>
      <sheetName val="TT XKLD(Nhan)"/>
      <sheetName val="Ong Hong"/>
      <sheetName val="CN hung yen"/>
      <sheetName val="Dong nai"/>
      <sheetName val="LUU1704"/>
      <sheetName val="phan tich DG"/>
      <sheetName val="gia vat lieu"/>
      <sheetName val="gia xe may"/>
      <sheetName val="gia nhan cong"/>
      <sheetName val="Ke"/>
      <sheetName val="KLTong hop"/>
      <sheetName val="Lan can"/>
      <sheetName val="Ranh doc (2)"/>
      <sheetName val="Ranh doc"/>
      <sheetName val="Coc tieu"/>
      <sheetName val="Bien bao"/>
      <sheetName val="Nan tuyen"/>
      <sheetName val="Lan 1"/>
      <sheetName val="Lan  2"/>
      <sheetName val="Lan 3"/>
      <sheetName val="Gia tri"/>
      <sheetName val="Lan 5"/>
      <sheetName val="K249 K98"/>
      <sheetName val="K249 K98 (2)"/>
      <sheetName val="K251 K98"/>
      <sheetName val="K251 SBase"/>
      <sheetName val="K251 AC"/>
      <sheetName val="K252 K98"/>
      <sheetName val="K252 SBase"/>
      <sheetName val="K252 AC"/>
      <sheetName val="K253"/>
      <sheetName val="K253 K98"/>
      <sheetName val="K253 Subbase"/>
      <sheetName val="K253 Base "/>
      <sheetName val="K253 SBase"/>
      <sheetName val="K253 AC"/>
      <sheetName val="K255"/>
      <sheetName val="K255 SBase"/>
      <sheetName val="K259"/>
      <sheetName val="K259 K98"/>
      <sheetName val="K259 Subbase"/>
      <sheetName val="K259 Base "/>
      <sheetName val="K259 AC"/>
      <sheetName val="K260"/>
      <sheetName val="K260 K98"/>
      <sheetName val="K260 Subbase"/>
      <sheetName val="K260 Base"/>
      <sheetName val="K260 AC"/>
      <sheetName val="K261"/>
      <sheetName val="K261 K98"/>
      <sheetName val="K261 Base"/>
      <sheetName val="K261 AC"/>
      <sheetName val="Dc Dau"/>
      <sheetName val=" o to Hien 8"/>
      <sheetName val=" o to Hien9"/>
      <sheetName val=" o to Hien10"/>
      <sheetName val=" o to Hien11"/>
      <sheetName val=" o to Hien12)"/>
      <sheetName val=" o to Hien1"/>
      <sheetName val=" o to Hien2"/>
      <sheetName val=" o to Hien3"/>
      <sheetName val=" o to Hien4"/>
      <sheetName val=" o to Hien5"/>
      <sheetName val=" o to Phong 8"/>
      <sheetName val=" o to Phong9"/>
      <sheetName val=" o to Phong10"/>
      <sheetName val=" o to Phong11"/>
      <sheetName val=" o to Phong12)"/>
      <sheetName val=" o to Phong1"/>
      <sheetName val=" o to Phong2"/>
      <sheetName val=" o to Phong3"/>
      <sheetName val=" o to Phong4"/>
      <sheetName val=" o to Phong5"/>
      <sheetName val=" o to Dung 8 "/>
      <sheetName val=" D tt dau8"/>
      <sheetName val=" o to Dung 9"/>
      <sheetName val=" D9 tt dau"/>
      <sheetName val=" D10 tt dau"/>
      <sheetName val=" o to Dung 10"/>
      <sheetName val=" o to Dung 11"/>
      <sheetName val=" o to Dung 12)"/>
      <sheetName val=" o to Dung 1"/>
      <sheetName val=" o to Dung2"/>
      <sheetName val=" o to Dung3"/>
      <sheetName val=" o to Dung4"/>
      <sheetName val=" o totrongT10-12"/>
      <sheetName val=" o totrongT2"/>
      <sheetName val=" o totrungT10-12"/>
      <sheetName val=" o toMinhT10-12 "/>
      <sheetName val=" o toMinhT2"/>
      <sheetName val=" o toTrieuT10-12  "/>
      <sheetName val="Luong 8 SP"/>
      <sheetName val="Luong 9 SP "/>
      <sheetName val="Luong 10 SP "/>
      <sheetName val="Luong 11 SP "/>
      <sheetName val="Luong 12 SP"/>
      <sheetName val="Luong 1 SP1"/>
      <sheetName val="Luong 2 SP2"/>
      <sheetName val="Luong 3 SP3"/>
      <sheetName val="Luong 4 SP4"/>
      <sheetName val="Luong 4 SP5"/>
      <sheetName val="BTTTLT8"/>
      <sheetName val="BTTTLT9"/>
      <sheetName val="BTTTLT10"/>
      <sheetName val="BTTTLT11"/>
      <sheetName val="BTTTLT12"/>
      <sheetName val="BTTTLT1"/>
      <sheetName val="BTTTLT2"/>
      <sheetName val="BTTTLT3"/>
      <sheetName val="BTTTLT4"/>
      <sheetName val="BTTTLT5"/>
      <sheetName val="THDGK"/>
      <sheetName val="THDGTT"/>
      <sheetName val="Cong hop"/>
      <sheetName val="nt+dd+cl"/>
      <sheetName val="kc+conlaiql"/>
      <sheetName val="kc+clai(107)"/>
      <sheetName val="duong(107)"/>
      <sheetName val="qui1"/>
      <sheetName val="1,3-30,4"/>
      <sheetName val="kldukien"/>
      <sheetName val="kldukien (107)"/>
      <sheetName val="thang4"/>
      <sheetName val="qui1 (2)"/>
      <sheetName val="binh do"/>
      <sheetName val="cot lieu"/>
      <sheetName val="van khuon"/>
      <sheetName val="CT BT"/>
      <sheetName val="lay mau"/>
      <sheetName val="mat ngoai goi"/>
      <sheetName val="coc tram-bt"/>
      <sheetName val="tc"/>
      <sheetName val="TDT"/>
      <sheetName val="xl"/>
      <sheetName val="NN"/>
      <sheetName val="Tralaivay"/>
      <sheetName val="TBTN"/>
      <sheetName val="CPTV"/>
      <sheetName val="PCCHAY"/>
      <sheetName val="dtks"/>
      <sheetName val="KL Tram Cty"/>
      <sheetName val="Gam may Cty"/>
      <sheetName val="KL tram KH"/>
      <sheetName val="Gam may KH"/>
      <sheetName val="Cach dien"/>
      <sheetName val="Mang tai"/>
      <sheetName val="KL DDK"/>
      <sheetName val="Mang tai DDK"/>
      <sheetName val="KL DDK0,4"/>
      <sheetName val="TT Ky thuat"/>
      <sheetName val="CT moi"/>
      <sheetName val="Tu dien"/>
      <sheetName val="May cat"/>
      <sheetName val="Dao Cly"/>
      <sheetName val="Dao Ptai"/>
      <sheetName val="Tu RMU"/>
      <sheetName val="C.set"/>
      <sheetName val="SI"/>
      <sheetName val="Sco Cap"/>
      <sheetName val="Sco TB"/>
      <sheetName val="TN tram"/>
      <sheetName val="TN C.set"/>
      <sheetName val="TN TD DDay"/>
      <sheetName val="Phan chung"/>
      <sheetName val="VAT TU NHAN TXQN"/>
      <sheetName val="bang tong ke khoi luong vat tu"/>
      <sheetName val="hcong tkhe"/>
      <sheetName val="VAT TU NHAN TKHE"/>
      <sheetName val="hcong qn"/>
      <sheetName val="VAT TU NHAN (2)"/>
      <sheetName val="T1(T1)04"/>
      <sheetName val="THDT"/>
      <sheetName val="DM-Goc"/>
      <sheetName val="Gia-CT"/>
      <sheetName val="PTCP"/>
      <sheetName val="cphoi"/>
      <sheetName val="CT xa"/>
      <sheetName val="TLGC"/>
      <sheetName val="BL"/>
      <sheetName val="C.TIEU"/>
      <sheetName val=""/>
    </sheetNames>
    <definedNames>
      <definedName name="DataFilter"/>
      <definedName name="DataSort"/>
      <definedName name="GoBack" sheetId="0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o tay_Co cau von 2007"/>
      <sheetName val="Sheet1"/>
      <sheetName val="Tong hop"/>
      <sheetName val="new"/>
      <sheetName val="00000000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Sheet17"/>
      <sheetName val="Sheet18"/>
      <sheetName val="Sheet19"/>
      <sheetName val="Sheet20"/>
      <sheetName val="Sheet21"/>
      <sheetName val="Sheet22"/>
      <sheetName val="Sheet23"/>
      <sheetName val="Sheet24"/>
      <sheetName val="Sheet25"/>
      <sheetName val="Sheet26"/>
      <sheetName val="Sheet27"/>
      <sheetName val="Sheet28"/>
      <sheetName val="Sheet29"/>
      <sheetName val="Sheet30"/>
      <sheetName val="Sheet31"/>
      <sheetName val="Sheet32"/>
      <sheetName val="Sheet33"/>
      <sheetName val="Sheet34"/>
      <sheetName val="Sheet35"/>
      <sheetName val="Sheet36"/>
      <sheetName val="Sheet37"/>
      <sheetName val="Sheet38"/>
      <sheetName val="Sheet39"/>
      <sheetName val="Sheet40"/>
      <sheetName val="Sheet41"/>
      <sheetName val="Sheet42"/>
      <sheetName val="Sheet43"/>
      <sheetName val="Sheet44"/>
      <sheetName val="Sheet45"/>
      <sheetName val="Sheet46"/>
      <sheetName val="Sheet47"/>
      <sheetName val="Sheet48"/>
      <sheetName val="Sheet49"/>
      <sheetName val="Sheet50"/>
      <sheetName val="XL4Poppy"/>
      <sheetName val="Giao"/>
      <sheetName val="CHIET TINH"/>
      <sheetName val="Bang gia Ca May"/>
      <sheetName val="Bang Gia VL"/>
      <sheetName val="Tong Hop KP"/>
      <sheetName val=" DON GIA"/>
      <sheetName val="CHIET TINH THEO KH.SAT"/>
      <sheetName val="DT thi ngiem"/>
      <sheetName val="TH DT thi nghiem"/>
      <sheetName val="TH DT"/>
      <sheetName val="DT2"/>
      <sheetName val="CT"/>
      <sheetName val="KL xa"/>
      <sheetName val="KL cot"/>
      <sheetName val="Xa su"/>
      <sheetName val="CP Xa"/>
      <sheetName val="THDT xa"/>
      <sheetName val="Cot dien"/>
      <sheetName val="TH cot"/>
      <sheetName val="CT VC cot"/>
      <sheetName val="VC CT ma"/>
      <sheetName val="CT cot thep"/>
      <sheetName val="CT ma kem"/>
      <sheetName val="PBKL"/>
      <sheetName val="CT be tong"/>
      <sheetName val="C.tinh"/>
      <sheetName val="00000000"/>
      <sheetName val="D12TUVAN"/>
      <sheetName val="D7Longhiep"/>
      <sheetName val="NMNHUa"/>
      <sheetName val="DXMay"/>
      <sheetName val="D7TT3"/>
      <sheetName val="PXII"/>
      <sheetName val="Vaycuong"/>
      <sheetName val="DCUONG"/>
      <sheetName val="DVINA"/>
      <sheetName val="DCKCUONG"/>
      <sheetName val="D3KSVINA"/>
      <sheetName val="DOI 7"/>
      <sheetName val="DOI 3"/>
      <sheetName val="DOI1"/>
      <sheetName val="DOI6"/>
      <sheetName val="DOI5"/>
      <sheetName val="VTAcap"/>
      <sheetName val="DCVTACaP"/>
      <sheetName val="TKHC-35"/>
      <sheetName val="TKTK0,4"/>
      <sheetName val="BangPhanday"/>
      <sheetName val="DANBVE"/>
      <sheetName val="TKHC-0,4"/>
      <sheetName val="TKTK-35"/>
      <sheetName val="KL GD2 tong the"/>
      <sheetName val="TKHC-CT"/>
      <sheetName val="MC,MN"/>
      <sheetName val="X,TD"/>
      <sheetName val="TBA,CTO"/>
      <sheetName val="CD"/>
      <sheetName val="Cot"/>
      <sheetName val="TTGD2"/>
      <sheetName val="10000000"/>
      <sheetName val="UNIT"/>
      <sheetName val="Piers of Main Flyover (1)"/>
      <sheetName val="Cot Tru1"/>
      <sheetName val="P3-TanAn-Factored"/>
      <sheetName val="P4-TanAn-Factored"/>
      <sheetName val="Bia"/>
      <sheetName val="DKTT"/>
      <sheetName val="N-luc"/>
      <sheetName val="TH-Tai trong"/>
      <sheetName val="Xamu"/>
      <sheetName val="Than tru"/>
      <sheetName val="Be coc"/>
      <sheetName val="PTDDat-Tru"/>
      <sheetName val="PTDDat-nhip"/>
      <sheetName val="PTDDat-nhipLT"/>
      <sheetName val="COC KHOAN M1"/>
      <sheetName val="COC KHOAN M2"/>
      <sheetName val="COC KHOAN T1"/>
      <sheetName val="COC KHOAN T5"/>
      <sheetName val="COC KHOAN T4"/>
      <sheetName val="COC DONG"/>
      <sheetName val="BANG"/>
      <sheetName val="Bang VL"/>
      <sheetName val="VL(No V-c)"/>
      <sheetName val="He so"/>
      <sheetName val="PL Vua"/>
      <sheetName val="Chitieu-dam cac loai"/>
      <sheetName val="DG Dam"/>
      <sheetName val="DG chung"/>
      <sheetName val="DGdg"/>
      <sheetName val="VL-dac chung"/>
      <sheetName val="CocKN1m"/>
      <sheetName val="Coc40x40cm"/>
      <sheetName val="CT 1md &amp; dau cong"/>
      <sheetName val="Tong hop"/>
      <sheetName val="CT cong"/>
      <sheetName val="dg cong"/>
      <sheetName val="Vatlieu"/>
      <sheetName val="DgDuong"/>
      <sheetName val="dgmo-tru"/>
      <sheetName val="dgdam"/>
      <sheetName val="Dam-Mo-Tru"/>
      <sheetName val="dgcong"/>
      <sheetName val="DPD"/>
      <sheetName val="DTDuong"/>
      <sheetName val="GTXLc"/>
      <sheetName val="CPXLk"/>
      <sheetName val="DBu"/>
      <sheetName val="KPTH"/>
      <sheetName val="Bang KL ket cau"/>
      <sheetName val="tuyen"/>
      <sheetName val="dgcoc"/>
      <sheetName val="CP3-3nhip(L=130,251m)(OK)"/>
      <sheetName val="CP4-7nhip(L=289,384m)(OK)"/>
      <sheetName val="CP5-3nhip(L=130,27m)(OK)"/>
      <sheetName val="CP6-4nhip(L=170,5m)(OK)"/>
      <sheetName val="GTXLc-Doan2"/>
      <sheetName val="do xe"/>
      <sheetName val="GT do xe"/>
      <sheetName val="Bieu TH"/>
      <sheetName val="TH lop khoan"/>
      <sheetName val="cdkhoan"/>
      <sheetName val="DG cau"/>
      <sheetName val="PA1-Cau banDUL(1x12m)"/>
      <sheetName val="PA2-Cong ds 2(3x3,5)"/>
      <sheetName val="XL(chinh+khac)"/>
      <sheetName val="S-VK (I)"/>
      <sheetName val="Bang KL"/>
      <sheetName val="CP1-3nhip(L=130,4m)"/>
      <sheetName val="CP2-4nhip(L=170,4m)"/>
      <sheetName val="CP6-4nhip(L=170,4m)"/>
      <sheetName val="KL nhip"/>
      <sheetName val="KL-6cau"/>
      <sheetName val="NC"/>
      <sheetName val="VL"/>
      <sheetName val="THDT"/>
      <sheetName val="THQT"/>
      <sheetName val="CT HT"/>
      <sheetName val="B tinh"/>
      <sheetName val="XD"/>
      <sheetName val="TH VT A"/>
      <sheetName val="2001"/>
      <sheetName val="T.H 01"/>
      <sheetName val="2000"/>
      <sheetName val="Thang_1"/>
      <sheetName val="Thang_2"/>
      <sheetName val="Thang_3"/>
      <sheetName val="Thang_4"/>
      <sheetName val="Chitiet"/>
      <sheetName val="PTich"/>
      <sheetName val="TongHop"/>
      <sheetName val="NhapCN"/>
      <sheetName val="THBaocao"/>
      <sheetName val="THThang"/>
      <sheetName val="T8"/>
      <sheetName val="TH8T"/>
      <sheetName val="T9"/>
      <sheetName val="T10"/>
      <sheetName val="VT10"/>
      <sheetName val="VT11"/>
      <sheetName val="VT11 (2)"/>
      <sheetName val="QuyI"/>
      <sheetName val="QuyII"/>
      <sheetName val="QUYIII"/>
      <sheetName val="QUYIV"/>
      <sheetName val="quy1"/>
      <sheetName val="QUY2"/>
      <sheetName val="QUY3"/>
      <sheetName val="QUY4"/>
      <sheetName val="00000001"/>
      <sheetName val="00000002"/>
      <sheetName val="00000003"/>
      <sheetName val="00000004"/>
      <sheetName val="NMQII-100"/>
      <sheetName val="NMQII"/>
      <sheetName val="MTQII"/>
      <sheetName val="CTYQII"/>
      <sheetName val="20000000"/>
      <sheetName val="PTVT goc"/>
      <sheetName val="DG goc"/>
      <sheetName val="CLVL goc"/>
      <sheetName val="khoi luong"/>
      <sheetName val="ptxd"/>
      <sheetName val="ptnuoc"/>
      <sheetName val="bu gia"/>
      <sheetName val="bien ban"/>
      <sheetName val="q2"/>
      <sheetName val="q3"/>
      <sheetName val="q4"/>
      <sheetName val="Gia da dam"/>
      <sheetName val="Gia VLXD"/>
      <sheetName val="GTXL"/>
      <sheetName val="dgchitiet"/>
      <sheetName val="DTCong"/>
      <sheetName val="KLuong(cong)"/>
      <sheetName val="DHai(banDUL-5x20,05m)"/>
      <sheetName val="KVinh(banDUL-3x21,05m)"/>
      <sheetName val="KLuong(Cau)"/>
      <sheetName val="M"/>
      <sheetName val="GTXLk"/>
      <sheetName val="dg(cau)"/>
      <sheetName val="DT(KVinh)"/>
      <sheetName val="DT(DHai)"/>
      <sheetName val="KL"/>
      <sheetName val="DT(cong)"/>
      <sheetName val="CTXD"/>
      <sheetName val="30000000"/>
      <sheetName val="Bang TH"/>
      <sheetName val="ktcau"/>
      <sheetName val="KTcaulon"/>
      <sheetName val="DGia"/>
      <sheetName val="Vuot can(81-110)-ok"/>
      <sheetName val="L4,T5 nuoc(81-110)-ok"/>
      <sheetName val="L,T,nuoc+can(70-81)-ok"/>
      <sheetName val="Vuot can(35-70)-ok"/>
      <sheetName val="L,T,N nuoc (35-70)-ok"/>
      <sheetName val="L,T,N nuoc (0-35)-ok"/>
      <sheetName val="Vuot can(0-35)-ok"/>
      <sheetName val="Duong(0-35)-ok"/>
      <sheetName val="KL-Cau lon"/>
      <sheetName val="KL-Cau trung"/>
      <sheetName val="KL-Cau vuot nut"/>
      <sheetName val="1nhip"/>
      <sheetName val="TH Cau-PA kien nghi"/>
      <sheetName val="L(4),T(5) nuoc(81-110)"/>
      <sheetName val="Vuot can7 (81-110)"/>
      <sheetName val="Luong"/>
      <sheetName val="DG chitiet"/>
      <sheetName val="KLcau"/>
      <sheetName val="Yalop(5x33m)-TDUL"/>
      <sheetName val="Gia tri XLc"/>
      <sheetName val="6-Cau lon (CLH) ok"/>
      <sheetName val="3-L,T,nuoc+can(70-81)-PA1,2,3"/>
      <sheetName val="5-L,T,N (110-131+008)-PA1,2,3"/>
      <sheetName val="5-Nut (110-131+008)-PA1,2,3"/>
      <sheetName val="4-Vuot can(81-110)-PA1,2,3"/>
      <sheetName val="2-T,N nuoc (35-70)-PA1,2,3"/>
      <sheetName val="2-Lon nuoc (35-70)-PA1,2,3"/>
      <sheetName val="2-Vuot can(35-70)-PA1,2,3"/>
      <sheetName val="1-Trung(0-35) PA1,2,3"/>
      <sheetName val="1-L,N nuoc (0-35) PA1&amp;2 "/>
      <sheetName val="1-L,N nuoc (0-35) PA3 "/>
      <sheetName val="1-Vuot can(0-35) PA1,2,3"/>
      <sheetName val="4-L4,T5 nuoc(81-110)-PA1,2,3"/>
      <sheetName val="Cong(0-131)-PA3"/>
      <sheetName val="Cong(0-131)- PA2"/>
      <sheetName val="Cong(0-131)- PA1"/>
      <sheetName val="TienXL-3PA"/>
      <sheetName val="TienXL-PA1,2"/>
      <sheetName val="Cong(KM1+640-KM5+540)"/>
      <sheetName val="KM 209(1x18m)-Tthuong"/>
      <sheetName val="KM 205(1x12m)-BanDUL"/>
      <sheetName val="GTXL-PA1"/>
      <sheetName val="GTXL-PA2"/>
      <sheetName val="GTXL-PA3"/>
      <sheetName val="1 nhip"/>
      <sheetName val="THKL"/>
      <sheetName val="Tach XL"/>
      <sheetName val="KL cau Bac Phu Cat"/>
      <sheetName val="Dam, mo, tru"/>
      <sheetName val="Tuong chan"/>
      <sheetName val="dgchitiet-cau"/>
      <sheetName val="GTXL(03)"/>
      <sheetName val="Gia VL"/>
      <sheetName val="CPXD(03+04)"/>
      <sheetName val="dgphu"/>
      <sheetName val="GTXL(TT03)"/>
      <sheetName val="May"/>
      <sheetName val="VLieu"/>
      <sheetName val="GTXL(TT03-2005)"/>
      <sheetName val="CP1-3nhip(L=130,40m)"/>
      <sheetName val="CP2-4nhip(L=170,40m)"/>
      <sheetName val="KLTB- 2"/>
      <sheetName val="KLTB- 1"/>
      <sheetName val="Thep"/>
      <sheetName val="KL chi tiet"/>
      <sheetName val="XXXXXXXX"/>
      <sheetName val="THKP-TT03+04(sauduyet)"/>
      <sheetName val="KM0"/>
      <sheetName val="He so(TT03+04)"/>
      <sheetName val="PL Vua(DTTK)"/>
      <sheetName val="dgchitiet(TT03+04)"/>
      <sheetName val="Dieu phoi(DTTK)"/>
      <sheetName val="DTduong(TT03+04)"/>
      <sheetName val="KLduong(duyet)"/>
      <sheetName val="Cau chinh (dam)-TT03+04"/>
      <sheetName val="Cau chinh (motru)-TT03+04"/>
      <sheetName val="KC dam ban(TT03+04)"/>
      <sheetName val="KL-cau"/>
      <sheetName val="KL-nhip dam"/>
      <sheetName val="KL-coc"/>
      <sheetName val="Thi cong"/>
      <sheetName val="Vat Lieu "/>
      <sheetName val="CP3-3nhip(L=130,423m)"/>
      <sheetName val="KLTB- 3"/>
      <sheetName val="CP5-3nhip(L=130,27m)"/>
      <sheetName val="KLTB- 5"/>
      <sheetName val="CP6-4nhip(L=170,40m)"/>
      <sheetName val="GTXL(TT03+04)"/>
      <sheetName val="KLTB- 6"/>
      <sheetName val="NhapSL"/>
      <sheetName val="TH cac DG"/>
      <sheetName val="DGTH"/>
      <sheetName val="CTcongtron"/>
      <sheetName val="Gia 1m3 dam"/>
      <sheetName val="KLVL 1nhip"/>
      <sheetName val="DG #"/>
      <sheetName val="1md cong ban"/>
      <sheetName val="Be day cong"/>
      <sheetName val="Khoan diachat"/>
      <sheetName val="GTXL-Cau"/>
      <sheetName val="DHai(ban-5x20,05m;coc40x40)"/>
      <sheetName val="KVinh(ban-3x21,05m;PA2)"/>
      <sheetName val="KVinh(ban-3x24m;PA1)"/>
      <sheetName val="THtoanbo"/>
      <sheetName val="THboxung"/>
      <sheetName val="PTVT"/>
      <sheetName val="CLechVTSon5.5.03"/>
      <sheetName val="THKPBXSon5.5.03"/>
      <sheetName val="BXSon+binh5.5.03"/>
      <sheetName val="thau"/>
      <sheetName val="XXXXXXX0"/>
      <sheetName val="XXXXXXX1"/>
      <sheetName val="XXXXXXX2"/>
      <sheetName val="XXXXXXX3"/>
      <sheetName val="XXXXXXX4"/>
      <sheetName val="XXXXXXX5"/>
      <sheetName val="HC-01"/>
      <sheetName val="HC-02"/>
      <sheetName val="HC-03"/>
      <sheetName val="HC-04"/>
      <sheetName val="HC-05"/>
      <sheetName val="HC-06"/>
      <sheetName val="HC-07"/>
      <sheetName val="HC-08"/>
      <sheetName val="HC-09"/>
      <sheetName val="HC-10"/>
      <sheetName val="HC-11"/>
      <sheetName val="HC-12"/>
      <sheetName val="HC-13"/>
      <sheetName val="HC-14"/>
      <sheetName val="HC-15"/>
      <sheetName val="HC-16"/>
      <sheetName val="HC-17"/>
      <sheetName val="HC-18"/>
      <sheetName val="Bia1"/>
      <sheetName val="THKC"/>
      <sheetName val="THKC (2)"/>
      <sheetName val="THKC (3)"/>
      <sheetName val="VtuB"/>
      <sheetName val="VtuA"/>
      <sheetName val="CAMmoi"/>
      <sheetName val="CAM1"/>
      <sheetName val="CAMcu"/>
      <sheetName val="CAM2"/>
      <sheetName val="0002"/>
      <sheetName val="0003"/>
      <sheetName val="0004"/>
      <sheetName val="005"/>
      <sheetName val="0006"/>
      <sheetName val="0007"/>
      <sheetName val="0008"/>
      <sheetName val="009"/>
      <sheetName val="stabguide"/>
      <sheetName val="riser 02.01"/>
      <sheetName val="TONG CONG "/>
      <sheetName val="phu luc "/>
      <sheetName val="PT VT "/>
      <sheetName val="c. lech v t"/>
      <sheetName val="Q.Tc.xanh  "/>
      <sheetName val="Tang giam KL "/>
      <sheetName val="CAN DOI"/>
      <sheetName val="PTPT"/>
      <sheetName val="TK 141"/>
      <sheetName val="NO CTy"/>
      <sheetName val="XL4Test5"/>
      <sheetName val="Chart1"/>
      <sheetName val="Phantich"/>
      <sheetName val="Toan_DA"/>
      <sheetName val="2004"/>
      <sheetName val="2005"/>
      <sheetName val="DGCT"/>
      <sheetName val="THDG"/>
      <sheetName val="CPTK"/>
      <sheetName val="DMTK"/>
      <sheetName val="DGiaCTiet"/>
      <sheetName val="DTCT"/>
      <sheetName val="THKP (2)"/>
      <sheetName val="TM"/>
      <sheetName val="BU-gian"/>
      <sheetName val="Bu-Ha"/>
      <sheetName val="Gia DAN"/>
      <sheetName val="Dan"/>
      <sheetName val="Cuoc"/>
      <sheetName val="Bugia"/>
      <sheetName val="VT"/>
      <sheetName val="KL57"/>
      <sheetName val="ct9604"/>
      <sheetName val="BC ton quy"/>
      <sheetName val="Chi NH"/>
      <sheetName val="TT CAT KCN"/>
      <sheetName val="Chi KHAC"/>
      <sheetName val="THU BaNNHA"/>
      <sheetName val="THU KHAC"/>
      <sheetName val="TH"/>
      <sheetName val="Dot 2 (2)"/>
      <sheetName val="Lai qua han"/>
      <sheetName val="Lai QH 18-3"/>
      <sheetName val="TBao 1"/>
      <sheetName val="TBao 2"/>
      <sheetName val="TH Dot 1 SUA"/>
      <sheetName val="Dot 1 goc"/>
      <sheetName val="Dienthoai 1 Thi"/>
      <sheetName val="Dot 1 chuan"/>
      <sheetName val="TH Dot 2 SUA"/>
      <sheetName val="Nha tho 1"/>
      <sheetName val="Dienthoai 1"/>
      <sheetName val="Nha tho"/>
      <sheetName val="Dienthoai 2"/>
      <sheetName val="Nha tho 1 (2)"/>
      <sheetName val="Mat Bang - HD"/>
      <sheetName val="Lai QH 25-5"/>
      <sheetName val="Dot 2 chuan"/>
      <sheetName val="Dienthoai 2 Thi"/>
      <sheetName val="TH Dot 1 Thi"/>
      <sheetName val="TH Dot 2 Thi"/>
      <sheetName val="TB Noptien D2"/>
      <sheetName val="Dot 2 theo PT"/>
      <sheetName val="Tien ung"/>
      <sheetName val="PHONG"/>
      <sheetName val="phi luong3"/>
      <sheetName val="Q1-02"/>
      <sheetName val="Q2-02"/>
      <sheetName val="Q3-02"/>
      <sheetName val="B ke"/>
      <sheetName val="K luong"/>
      <sheetName val="VL-NC-M"/>
      <sheetName val="C.tinh DG"/>
      <sheetName val="C.tinh BT"/>
      <sheetName val="Mong"/>
      <sheetName val="Bu VL"/>
      <sheetName val="V.C ngoai tuyen"/>
      <sheetName val="Trung chuyen"/>
      <sheetName val="V.C noi tuyen"/>
      <sheetName val="Cu lyVC noi tuyen"/>
      <sheetName val="CT-6"/>
      <sheetName val="CT-Tram"/>
      <sheetName val="TH-Tram"/>
      <sheetName val="TH-Cto"/>
      <sheetName val="TBA 35-Ldat"/>
      <sheetName val="TDT35TBA"/>
      <sheetName val="TDT-tram"/>
      <sheetName val="TDT-Cto"/>
      <sheetName val="TDT6DDK+TBA"/>
      <sheetName val="DG-Khao sat"/>
      <sheetName val="CT-Tuvan"/>
      <sheetName val="Chi tiet Vc"/>
      <sheetName val="Khoi luong van chuyen "/>
      <sheetName val="TONGDUTOAN"/>
      <sheetName val="Khao Sat"/>
      <sheetName val="ThuyetMinhDT"/>
      <sheetName val="VVVVVVVa"/>
      <sheetName val="T12-01"/>
      <sheetName val="T1-02"/>
      <sheetName val="T5"/>
      <sheetName val="T6"/>
      <sheetName val="T7"/>
      <sheetName val="T11"/>
      <sheetName val="T12"/>
      <sheetName val="CTCN"/>
      <sheetName val="QTHD"/>
      <sheetName val="T3(9)"/>
      <sheetName val="T2(9)"/>
      <sheetName val="T5(10)"/>
      <sheetName val="T4(10)"/>
      <sheetName val="T3(10)"/>
      <sheetName val="T2(10)"/>
      <sheetName val="T1(10)"/>
      <sheetName val="T4(9)"/>
      <sheetName val="T1(9)"/>
      <sheetName val="T4(T8)"/>
      <sheetName val="T3(T8]"/>
      <sheetName val="T2(T8]"/>
      <sheetName val="T1(T8]"/>
      <sheetName val="T4(T7}"/>
      <sheetName val="T3(T7]"/>
      <sheetName val="T2(T7]"/>
      <sheetName val="T1(T7]"/>
      <sheetName val="T3[6]"/>
      <sheetName val="T2[6]"/>
      <sheetName val="T1(6)"/>
      <sheetName val="T4(05)"/>
      <sheetName val="T3(05)"/>
      <sheetName val="T2(05)"/>
      <sheetName val="T3(3)03"/>
      <sheetName val="T1(04)"/>
      <sheetName val="T5(03)"/>
      <sheetName val="T4(03)"/>
      <sheetName val="KHTC 2004 "/>
      <sheetName val="Bao cao Quy"/>
      <sheetName val="Bao cao thuc hien KH"/>
      <sheetName val="CP thang 10"/>
      <sheetName val="Gia thanh Sx"/>
      <sheetName val="KH thang 9+10"/>
      <sheetName val="KH tu 15-08"/>
      <sheetName val="KH TC -2 Da nop Cty"/>
      <sheetName val="KH TC T8"/>
      <sheetName val="00000005"/>
      <sheetName val="00000006"/>
      <sheetName val="00000007"/>
      <sheetName val="THop"/>
      <sheetName val="GTXL "/>
      <sheetName val="ptdg"/>
      <sheetName val="vc-tau"/>
      <sheetName val="O-to"/>
      <sheetName val="gia"/>
      <sheetName val="KS"/>
      <sheetName val="DGKS"/>
      <sheetName val="TK"/>
      <sheetName val="TKP-Hang"/>
      <sheetName val="TH-hang"/>
      <sheetName val="CP6-4nhip(L=170,5e)(OK)"/>
      <sheetName val="DZThotNot-CD-TBien&amp;tramChauDoc"/>
      <sheetName val="Tram220ChauDoc-M2"/>
      <sheetName val="Tram220BenTre-M1&amp;2"/>
      <sheetName val="Tram220LongAn-M1&amp;2"/>
      <sheetName val="Tram220MyTho-M2"/>
      <sheetName val="DZ220TDinh-TBang-nantuyen"/>
      <sheetName val="DZ110ChauDoc-TriTon"/>
      <sheetName val="Tram110TriTon"/>
      <sheetName val="DZ110DucHoa-TrangBang"/>
      <sheetName val="DZ110XuanTruong-DucLinh"/>
      <sheetName val="DZ&amp;Tram110BinhHoa-AnPhu"/>
      <sheetName val="Tram110BauBeo&amp;DN"/>
      <sheetName val="N1111"/>
      <sheetName val="C1111"/>
      <sheetName val="1121"/>
      <sheetName val="daura"/>
      <sheetName val="dauvao"/>
      <sheetName val="#REF"/>
      <sheetName val="KPsaudc"/>
      <sheetName val="GiaVL"/>
      <sheetName val="Dam(Sua sau TT)"/>
      <sheetName val="DG mo, tru(Sua sau TT)"/>
      <sheetName val="Coc(Sua sau TT)"/>
      <sheetName val="Duong(Sua sau TT)"/>
      <sheetName val="DPDat(Sau TT)"/>
      <sheetName val="DTCT(dc TT03&amp;04) "/>
      <sheetName val="Denbu"/>
      <sheetName val="40000000"/>
      <sheetName val="50000000"/>
      <sheetName val="KL Tram Cty"/>
      <sheetName val="Gam may Cty"/>
      <sheetName val="KL tram KH"/>
      <sheetName val="Gam may KH"/>
      <sheetName val="Cach dien"/>
      <sheetName val="Mang tai"/>
      <sheetName val="KL DDK"/>
      <sheetName val="Mang tai DDK"/>
      <sheetName val="KL DDK0,4"/>
      <sheetName val="TT Ky thuat"/>
      <sheetName val="CT moi"/>
      <sheetName val="Tu dien"/>
      <sheetName val="May cat"/>
      <sheetName val="Dao Cly"/>
      <sheetName val="Dao Ptai"/>
      <sheetName val="Tu RMU"/>
      <sheetName val="C.set"/>
      <sheetName val="SI"/>
      <sheetName val="Sco Cap"/>
      <sheetName val="Sco TB"/>
      <sheetName val="TN tram"/>
      <sheetName val="TN C.set"/>
      <sheetName val="TN TD DDay"/>
      <sheetName val="Phan chung"/>
      <sheetName val="BKBL"/>
      <sheetName val="DG"/>
      <sheetName val="SLX"/>
      <sheetName val="SLN"/>
      <sheetName val="SLT"/>
      <sheetName val="BKLCVT"/>
      <sheetName val="HH"/>
      <sheetName val="Sluong"/>
      <sheetName val="t1e21"/>
      <sheetName val="t1e20"/>
      <sheetName val="t1e18"/>
      <sheetName val="t2e17"/>
      <sheetName val="t1e17"/>
      <sheetName val="t1e15"/>
      <sheetName val="t2e14"/>
      <sheetName val="t1e14"/>
      <sheetName val="t2e13"/>
      <sheetName val="t1e13"/>
      <sheetName val="t2e12"/>
      <sheetName val="t1e12"/>
      <sheetName val="t2e11"/>
      <sheetName val="t1e11"/>
      <sheetName val="t2e10"/>
      <sheetName val="t1e10"/>
      <sheetName val="t3e9"/>
      <sheetName val="t2e9"/>
      <sheetName val="t1e9"/>
      <sheetName val="t3e8"/>
      <sheetName val="t2e8"/>
      <sheetName val="t1e8cu"/>
      <sheetName val="t3e5"/>
      <sheetName val="t2e5"/>
      <sheetName val="t1e5moi"/>
      <sheetName val="t1e5cu"/>
      <sheetName val="t2e2"/>
      <sheetName val="t1e2"/>
      <sheetName val="t3e1"/>
      <sheetName val="t2e1"/>
      <sheetName val="t1e1"/>
      <sheetName val="CF"/>
      <sheetName val="Trich 154"/>
      <sheetName val="Van Son"/>
      <sheetName val="Nga"/>
      <sheetName val="Bac"/>
      <sheetName val="Dung"/>
      <sheetName val="Minh"/>
      <sheetName val="TSon"/>
      <sheetName val="THi-VAn"/>
      <sheetName val="Ky"/>
      <sheetName val="Tien"/>
      <sheetName val="Van"/>
      <sheetName val="Hoang "/>
      <sheetName val="MTuan"/>
      <sheetName val="VINH"/>
      <sheetName val="CUONG"/>
      <sheetName val="Hoai"/>
      <sheetName val="THANH"/>
      <sheetName val="Sau"/>
      <sheetName val="Linh"/>
      <sheetName val="ngatt"/>
      <sheetName val="Ba-02"/>
      <sheetName val="Bac-2"/>
      <sheetName val="Dong"/>
      <sheetName val="Hung"/>
      <sheetName val="CT3-138"/>
      <sheetName val="CT4-138-01"/>
      <sheetName val="CT138-1-02"/>
      <sheetName val="338"/>
      <sheetName val="CW of Hoabinh  2002"/>
      <sheetName val=" Goods of Hoabinh 2002 "/>
      <sheetName val="BC"/>
      <sheetName val="Chi tiet"/>
      <sheetName val="Vat tu"/>
      <sheetName val="Thiet ke"/>
      <sheetName val="TH KL,VT,KP"/>
      <sheetName val="Den bu"/>
      <sheetName val="THVT"/>
      <sheetName val="PHAN TICH DON GIA"/>
      <sheetName val="DONGIA DU TOAN"/>
      <sheetName val="THKP"/>
      <sheetName val="th01.05-kh02.05"/>
      <sheetName val="X\XXXXX3"/>
      <sheetName val="BX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dt gso 2006-2010"/>
      <sheetName val="NSNNTPCP2006-2010 "/>
      <sheetName val="dt gso 2011-2015"/>
      <sheetName val="NSNNTPCP2011-2015"/>
      <sheetName val="NSNNTPCP5namgoc"/>
      <sheetName val="NSNN2006-2010"/>
      <sheetName val="TPCP2006-2010 "/>
      <sheetName val="TPCP2006-2010  (2)"/>
      <sheetName val="NSNN2011-2015"/>
      <sheetName val="TPCP2011-2015"/>
      <sheetName val="cc2006-2010"/>
      <sheetName val="NSNN2006-2010 (2)"/>
      <sheetName val="cc2011-2015"/>
      <sheetName val="cc2006-2010 (2)"/>
      <sheetName val="cc2006"/>
      <sheetName val="cc2011"/>
      <sheetName val="cc2010"/>
      <sheetName val="cc2009"/>
      <sheetName val="cc2008"/>
      <sheetName val="cc2007"/>
    </sheetNames>
    <sheetDataSet>
      <sheetData sheetId="10">
        <row r="14">
          <cell r="I14">
            <v>880</v>
          </cell>
        </row>
        <row r="15">
          <cell r="I15">
            <v>141425.55204045697</v>
          </cell>
        </row>
        <row r="32">
          <cell r="I32">
            <v>1.5110423605690986</v>
          </cell>
        </row>
        <row r="69">
          <cell r="I69">
            <v>21.011163782392615</v>
          </cell>
        </row>
        <row r="101">
          <cell r="I101">
            <v>22.87292299538776</v>
          </cell>
        </row>
        <row r="117">
          <cell r="I117">
            <v>1.1020520368010418</v>
          </cell>
        </row>
        <row r="126">
          <cell r="I126">
            <v>0.7774754214980679</v>
          </cell>
        </row>
        <row r="138">
          <cell r="I138">
            <v>3.9664645518173423</v>
          </cell>
        </row>
        <row r="153">
          <cell r="I153">
            <v>3.549358604281097</v>
          </cell>
        </row>
        <row r="162">
          <cell r="I162">
            <v>2.0889452077367694</v>
          </cell>
        </row>
        <row r="190">
          <cell r="I190">
            <v>17.562385044037015</v>
          </cell>
        </row>
        <row r="212">
          <cell r="I212">
            <v>5.669818776670653</v>
          </cell>
        </row>
        <row r="236">
          <cell r="I236">
            <v>3.861700500693786</v>
          </cell>
        </row>
        <row r="270">
          <cell r="I270">
            <v>2.7576199135928907</v>
          </cell>
        </row>
        <row r="275">
          <cell r="I275">
            <v>0.7702240613617725</v>
          </cell>
        </row>
        <row r="294">
          <cell r="I294">
            <v>7.96937650762732</v>
          </cell>
        </row>
        <row r="302">
          <cell r="I302">
            <v>3.2779083645887823</v>
          </cell>
        </row>
        <row r="310">
          <cell r="I310">
            <v>1.251541870943989</v>
          </cell>
        </row>
        <row r="311">
          <cell r="D311">
            <v>943</v>
          </cell>
          <cell r="E311">
            <v>889.56</v>
          </cell>
          <cell r="F311">
            <v>477</v>
          </cell>
          <cell r="G311">
            <v>191.2</v>
          </cell>
          <cell r="H311">
            <v>482.2</v>
          </cell>
          <cell r="I311">
            <v>494.5</v>
          </cell>
        </row>
      </sheetData>
      <sheetData sheetId="14">
        <row r="7">
          <cell r="C7">
            <v>100</v>
          </cell>
        </row>
        <row r="8">
          <cell r="C8">
            <v>20</v>
          </cell>
        </row>
        <row r="9">
          <cell r="C9">
            <v>300</v>
          </cell>
        </row>
        <row r="10">
          <cell r="C10">
            <v>2000</v>
          </cell>
        </row>
        <row r="11">
          <cell r="C11">
            <v>150</v>
          </cell>
        </row>
      </sheetData>
      <sheetData sheetId="15">
        <row r="5">
          <cell r="H5">
            <v>152000.05204045697</v>
          </cell>
        </row>
        <row r="6">
          <cell r="H6">
            <v>10080</v>
          </cell>
        </row>
        <row r="7">
          <cell r="H7">
            <v>180</v>
          </cell>
        </row>
        <row r="8">
          <cell r="H8">
            <v>200</v>
          </cell>
        </row>
        <row r="9">
          <cell r="H9">
            <v>4500</v>
          </cell>
        </row>
        <row r="10">
          <cell r="H10">
            <v>3500</v>
          </cell>
        </row>
        <row r="11">
          <cell r="H11">
            <v>820</v>
          </cell>
        </row>
        <row r="12">
          <cell r="H12">
            <v>880</v>
          </cell>
        </row>
      </sheetData>
      <sheetData sheetId="16">
        <row r="8">
          <cell r="H8">
            <v>200</v>
          </cell>
        </row>
        <row r="9">
          <cell r="H9">
            <v>200</v>
          </cell>
        </row>
        <row r="10">
          <cell r="H10">
            <v>3700</v>
          </cell>
        </row>
        <row r="11">
          <cell r="H11">
            <v>3500</v>
          </cell>
        </row>
        <row r="12">
          <cell r="H12">
            <v>300</v>
          </cell>
        </row>
        <row r="13">
          <cell r="H13">
            <v>800</v>
          </cell>
        </row>
        <row r="154">
          <cell r="C154">
            <v>5678.5351351351355</v>
          </cell>
        </row>
        <row r="170">
          <cell r="C170">
            <v>3495.644123500466</v>
          </cell>
        </row>
        <row r="192">
          <cell r="H192">
            <v>3696.5592327232416</v>
          </cell>
        </row>
        <row r="211">
          <cell r="H211">
            <v>825.9747553902912</v>
          </cell>
        </row>
      </sheetData>
      <sheetData sheetId="17">
        <row r="8">
          <cell r="C8">
            <v>200</v>
          </cell>
        </row>
        <row r="9">
          <cell r="C9">
            <v>200</v>
          </cell>
        </row>
        <row r="10">
          <cell r="C10">
            <v>3700</v>
          </cell>
        </row>
        <row r="11">
          <cell r="C11">
            <v>4900</v>
          </cell>
        </row>
        <row r="12">
          <cell r="C12">
            <v>160</v>
          </cell>
        </row>
        <row r="13">
          <cell r="C13">
            <v>800</v>
          </cell>
        </row>
      </sheetData>
      <sheetData sheetId="18">
        <row r="8">
          <cell r="C8">
            <v>200</v>
          </cell>
        </row>
        <row r="9">
          <cell r="C9">
            <v>200</v>
          </cell>
        </row>
        <row r="10">
          <cell r="C10">
            <v>2300</v>
          </cell>
        </row>
        <row r="11">
          <cell r="C11">
            <v>120</v>
          </cell>
        </row>
        <row r="12">
          <cell r="C12">
            <v>600</v>
          </cell>
        </row>
      </sheetData>
      <sheetData sheetId="19">
        <row r="8">
          <cell r="C8">
            <v>220</v>
          </cell>
        </row>
        <row r="9">
          <cell r="C9">
            <v>200</v>
          </cell>
        </row>
        <row r="10">
          <cell r="C10">
            <v>2500</v>
          </cell>
        </row>
        <row r="12">
          <cell r="C12">
            <v>1000</v>
          </cell>
        </row>
        <row r="13">
          <cell r="C13">
            <v>100</v>
          </cell>
        </row>
        <row r="244">
          <cell r="C244">
            <v>207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3"/>
  <sheetViews>
    <sheetView zoomScalePageLayoutView="0" workbookViewId="0" topLeftCell="A1">
      <selection activeCell="J43" sqref="J43"/>
    </sheetView>
  </sheetViews>
  <sheetFormatPr defaultColWidth="9.140625" defaultRowHeight="12.75"/>
  <cols>
    <col min="1" max="1" width="5.140625" style="38" customWidth="1"/>
    <col min="2" max="2" width="43.140625" style="38" customWidth="1"/>
    <col min="3" max="3" width="11.8515625" style="38" customWidth="1"/>
    <col min="4" max="4" width="15.140625" style="40" customWidth="1"/>
    <col min="5" max="5" width="10.8515625" style="40" hidden="1" customWidth="1"/>
    <col min="6" max="7" width="10.8515625" style="38" hidden="1" customWidth="1"/>
    <col min="8" max="8" width="12.140625" style="38" hidden="1" customWidth="1"/>
    <col min="9" max="9" width="20.421875" style="38" customWidth="1"/>
    <col min="10" max="10" width="15.140625" style="38" customWidth="1"/>
    <col min="11" max="11" width="14.8515625" style="38" customWidth="1"/>
    <col min="12" max="12" width="16.8515625" style="38" customWidth="1"/>
    <col min="13" max="16384" width="9.140625" style="38" customWidth="1"/>
  </cols>
  <sheetData>
    <row r="1" spans="1:12" ht="36" customHeight="1">
      <c r="A1" s="802" t="s">
        <v>243</v>
      </c>
      <c r="B1" s="802"/>
      <c r="C1" s="802"/>
      <c r="D1" s="802"/>
      <c r="E1" s="802"/>
      <c r="F1" s="802"/>
      <c r="G1" s="802"/>
      <c r="H1" s="802"/>
      <c r="I1" s="802"/>
      <c r="J1" s="802"/>
      <c r="K1" s="802"/>
      <c r="L1" s="802"/>
    </row>
    <row r="2" spans="1:12" ht="27.75" customHeight="1">
      <c r="A2" s="803" t="s">
        <v>213</v>
      </c>
      <c r="B2" s="803"/>
      <c r="C2" s="803"/>
      <c r="D2" s="803"/>
      <c r="E2" s="803"/>
      <c r="F2" s="803"/>
      <c r="G2" s="803"/>
      <c r="H2" s="803"/>
      <c r="I2" s="803"/>
      <c r="J2" s="803"/>
      <c r="K2" s="803"/>
      <c r="L2" s="803"/>
    </row>
    <row r="3" spans="1:12" ht="13.5" thickBot="1">
      <c r="A3" s="56"/>
      <c r="B3" s="56"/>
      <c r="C3" s="56"/>
      <c r="D3" s="57"/>
      <c r="E3" s="57"/>
      <c r="F3" s="39"/>
      <c r="G3" s="39"/>
      <c r="H3" s="39"/>
      <c r="I3" s="57"/>
      <c r="J3" s="56"/>
      <c r="K3" s="56"/>
      <c r="L3" s="56"/>
    </row>
    <row r="4" spans="1:12" s="44" customFormat="1" ht="32.25" customHeight="1" thickTop="1">
      <c r="A4" s="804" t="s">
        <v>115</v>
      </c>
      <c r="B4" s="804" t="s">
        <v>132</v>
      </c>
      <c r="C4" s="804" t="s">
        <v>133</v>
      </c>
      <c r="D4" s="799" t="s">
        <v>134</v>
      </c>
      <c r="E4" s="799" t="s">
        <v>211</v>
      </c>
      <c r="F4" s="799" t="s">
        <v>135</v>
      </c>
      <c r="G4" s="799" t="s">
        <v>136</v>
      </c>
      <c r="H4" s="799" t="s">
        <v>137</v>
      </c>
      <c r="I4" s="799" t="s">
        <v>237</v>
      </c>
      <c r="J4" s="806" t="s">
        <v>208</v>
      </c>
      <c r="K4" s="807"/>
      <c r="L4" s="804" t="s">
        <v>138</v>
      </c>
    </row>
    <row r="5" spans="1:12" s="44" customFormat="1" ht="21" customHeight="1">
      <c r="A5" s="805"/>
      <c r="B5" s="805"/>
      <c r="C5" s="805"/>
      <c r="D5" s="800"/>
      <c r="E5" s="800"/>
      <c r="F5" s="800"/>
      <c r="G5" s="800"/>
      <c r="H5" s="800"/>
      <c r="I5" s="800"/>
      <c r="J5" s="58">
        <v>2009</v>
      </c>
      <c r="K5" s="58">
        <v>2010</v>
      </c>
      <c r="L5" s="805"/>
    </row>
    <row r="6" spans="1:12" s="44" customFormat="1" ht="30" customHeight="1">
      <c r="A6" s="45" t="s">
        <v>139</v>
      </c>
      <c r="B6" s="46" t="s">
        <v>140</v>
      </c>
      <c r="C6" s="45"/>
      <c r="D6" s="47"/>
      <c r="E6" s="47"/>
      <c r="F6" s="45"/>
      <c r="G6" s="45"/>
      <c r="H6" s="45">
        <v>6.2</v>
      </c>
      <c r="I6" s="45"/>
      <c r="J6" s="45"/>
      <c r="K6" s="45"/>
      <c r="L6" s="45"/>
    </row>
    <row r="7" spans="1:12" s="44" customFormat="1" ht="48" customHeight="1">
      <c r="A7" s="48">
        <v>1</v>
      </c>
      <c r="B7" s="49" t="s">
        <v>141</v>
      </c>
      <c r="C7" s="48" t="s">
        <v>120</v>
      </c>
      <c r="D7" s="50" t="s">
        <v>142</v>
      </c>
      <c r="E7" s="64" t="e">
        <f>#REF!</f>
        <v>#REF!</v>
      </c>
      <c r="F7" s="64" t="e">
        <f>#REF!</f>
        <v>#REF!</v>
      </c>
      <c r="G7" s="64" t="e">
        <f>#REF!</f>
        <v>#REF!</v>
      </c>
      <c r="H7" s="64" t="e">
        <f>#REF!</f>
        <v>#REF!</v>
      </c>
      <c r="I7" s="68" t="e">
        <f>#REF!</f>
        <v>#REF!</v>
      </c>
      <c r="J7" s="51" t="e">
        <f>#REF!</f>
        <v>#REF!</v>
      </c>
      <c r="K7" s="51">
        <v>7</v>
      </c>
      <c r="L7" s="48" t="s">
        <v>239</v>
      </c>
    </row>
    <row r="8" spans="1:12" s="44" customFormat="1" ht="36" customHeight="1">
      <c r="A8" s="48">
        <v>2</v>
      </c>
      <c r="B8" s="49" t="s">
        <v>144</v>
      </c>
      <c r="C8" s="48" t="s">
        <v>145</v>
      </c>
      <c r="D8" s="50" t="s">
        <v>146</v>
      </c>
      <c r="E8" s="50"/>
      <c r="F8" s="52">
        <v>425373</v>
      </c>
      <c r="G8" s="52">
        <v>461443</v>
      </c>
      <c r="H8" s="48" t="s">
        <v>147</v>
      </c>
      <c r="I8" s="48" t="s">
        <v>209</v>
      </c>
      <c r="J8" s="52" t="s">
        <v>210</v>
      </c>
      <c r="K8" s="52" t="s">
        <v>240</v>
      </c>
      <c r="L8" s="48" t="s">
        <v>143</v>
      </c>
    </row>
    <row r="9" spans="1:12" s="44" customFormat="1" ht="24.75" customHeight="1">
      <c r="A9" s="48">
        <v>3</v>
      </c>
      <c r="B9" s="49" t="s">
        <v>148</v>
      </c>
      <c r="C9" s="48" t="s">
        <v>125</v>
      </c>
      <c r="D9" s="50" t="e">
        <f>#REF!</f>
        <v>#REF!</v>
      </c>
      <c r="E9" s="50" t="e">
        <f>#REF!</f>
        <v>#REF!</v>
      </c>
      <c r="F9" s="50" t="e">
        <f>#REF!</f>
        <v>#REF!</v>
      </c>
      <c r="G9" s="50" t="e">
        <f>#REF!</f>
        <v>#REF!</v>
      </c>
      <c r="H9" s="50" t="e">
        <f>#REF!</f>
        <v>#REF!</v>
      </c>
      <c r="I9" s="50" t="e">
        <f>#REF!</f>
        <v>#REF!</v>
      </c>
      <c r="J9" s="52" t="e">
        <f>#REF!</f>
        <v>#REF!</v>
      </c>
      <c r="K9" s="52">
        <v>1380</v>
      </c>
      <c r="L9" s="48" t="s">
        <v>191</v>
      </c>
    </row>
    <row r="10" spans="1:12" s="44" customFormat="1" ht="24.75" customHeight="1">
      <c r="A10" s="48">
        <v>4</v>
      </c>
      <c r="B10" s="49" t="s">
        <v>150</v>
      </c>
      <c r="C10" s="48" t="s">
        <v>120</v>
      </c>
      <c r="D10" s="50" t="e">
        <f>#REF!</f>
        <v>#REF!</v>
      </c>
      <c r="E10" s="50" t="e">
        <f>#REF!</f>
        <v>#REF!</v>
      </c>
      <c r="F10" s="50" t="e">
        <f>#REF!</f>
        <v>#REF!</v>
      </c>
      <c r="G10" s="50" t="e">
        <f>#REF!</f>
        <v>#REF!</v>
      </c>
      <c r="H10" s="50" t="e">
        <f>#REF!</f>
        <v>#REF!</v>
      </c>
      <c r="I10" s="66" t="e">
        <f>#REF!</f>
        <v>#REF!</v>
      </c>
      <c r="J10" s="51" t="e">
        <f>#REF!</f>
        <v>#REF!</v>
      </c>
      <c r="K10" s="51">
        <v>3.5</v>
      </c>
      <c r="L10" s="48" t="s">
        <v>191</v>
      </c>
    </row>
    <row r="11" spans="1:12" s="44" customFormat="1" ht="24.75" customHeight="1">
      <c r="A11" s="48">
        <v>5</v>
      </c>
      <c r="B11" s="49" t="s">
        <v>151</v>
      </c>
      <c r="C11" s="48" t="s">
        <v>120</v>
      </c>
      <c r="D11" s="50" t="e">
        <f>#REF!</f>
        <v>#REF!</v>
      </c>
      <c r="E11" s="50" t="e">
        <f>#REF!</f>
        <v>#REF!</v>
      </c>
      <c r="F11" s="50" t="e">
        <f>#REF!</f>
        <v>#REF!</v>
      </c>
      <c r="G11" s="50" t="e">
        <f>#REF!</f>
        <v>#REF!</v>
      </c>
      <c r="H11" s="50" t="e">
        <f>#REF!</f>
        <v>#REF!</v>
      </c>
      <c r="I11" s="66" t="e">
        <f>#REF!</f>
        <v>#REF!</v>
      </c>
      <c r="J11" s="51" t="e">
        <f>#REF!</f>
        <v>#REF!</v>
      </c>
      <c r="K11" s="51">
        <v>8</v>
      </c>
      <c r="L11" s="48" t="s">
        <v>239</v>
      </c>
    </row>
    <row r="12" spans="1:12" s="44" customFormat="1" ht="24.75" customHeight="1">
      <c r="A12" s="48">
        <v>6</v>
      </c>
      <c r="B12" s="49" t="s">
        <v>152</v>
      </c>
      <c r="C12" s="48" t="s">
        <v>120</v>
      </c>
      <c r="D12" s="50" t="e">
        <f>#REF!</f>
        <v>#REF!</v>
      </c>
      <c r="E12" s="50" t="e">
        <f>#REF!</f>
        <v>#REF!</v>
      </c>
      <c r="F12" s="50" t="e">
        <f>#REF!</f>
        <v>#REF!</v>
      </c>
      <c r="G12" s="50" t="e">
        <f>#REF!</f>
        <v>#REF!</v>
      </c>
      <c r="H12" s="50" t="e">
        <f>#REF!</f>
        <v>#REF!</v>
      </c>
      <c r="I12" s="66" t="e">
        <f>#REF!</f>
        <v>#REF!</v>
      </c>
      <c r="J12" s="51" t="e">
        <f>#REF!</f>
        <v>#REF!</v>
      </c>
      <c r="K12" s="48">
        <v>7.8</v>
      </c>
      <c r="L12" s="48" t="s">
        <v>149</v>
      </c>
    </row>
    <row r="13" spans="1:12" s="44" customFormat="1" ht="24.75" customHeight="1">
      <c r="A13" s="48">
        <v>7</v>
      </c>
      <c r="B13" s="49" t="s">
        <v>153</v>
      </c>
      <c r="C13" s="48"/>
      <c r="D13" s="50"/>
      <c r="E13" s="50"/>
      <c r="F13" s="48"/>
      <c r="G13" s="48"/>
      <c r="H13" s="48"/>
      <c r="I13" s="48"/>
      <c r="J13" s="48"/>
      <c r="K13" s="48"/>
      <c r="L13" s="48"/>
    </row>
    <row r="14" spans="1:12" s="44" customFormat="1" ht="24.75" customHeight="1">
      <c r="A14" s="48"/>
      <c r="B14" s="49" t="s">
        <v>154</v>
      </c>
      <c r="C14" s="48" t="s">
        <v>120</v>
      </c>
      <c r="D14" s="50" t="e">
        <f>#REF!</f>
        <v>#REF!</v>
      </c>
      <c r="E14" s="50" t="e">
        <f>#REF!</f>
        <v>#REF!</v>
      </c>
      <c r="F14" s="50" t="e">
        <f>#REF!</f>
        <v>#REF!</v>
      </c>
      <c r="G14" s="50" t="e">
        <f>#REF!</f>
        <v>#REF!</v>
      </c>
      <c r="H14" s="50" t="e">
        <f>#REF!</f>
        <v>#REF!</v>
      </c>
      <c r="I14" s="50" t="e">
        <f>#REF!</f>
        <v>#REF!</v>
      </c>
      <c r="J14" s="124" t="e">
        <f>#REF!</f>
        <v>#REF!</v>
      </c>
      <c r="K14" s="48">
        <v>20</v>
      </c>
      <c r="L14" s="48" t="s">
        <v>155</v>
      </c>
    </row>
    <row r="15" spans="1:12" s="44" customFormat="1" ht="24.75" customHeight="1">
      <c r="A15" s="48"/>
      <c r="B15" s="49" t="s">
        <v>156</v>
      </c>
      <c r="C15" s="48" t="s">
        <v>120</v>
      </c>
      <c r="D15" s="50" t="e">
        <f>#REF!</f>
        <v>#REF!</v>
      </c>
      <c r="E15" s="50" t="e">
        <f>#REF!</f>
        <v>#REF!</v>
      </c>
      <c r="F15" s="50" t="e">
        <f>#REF!</f>
        <v>#REF!</v>
      </c>
      <c r="G15" s="50" t="e">
        <f>#REF!</f>
        <v>#REF!</v>
      </c>
      <c r="H15" s="50" t="e">
        <f>#REF!</f>
        <v>#REF!</v>
      </c>
      <c r="I15" s="50" t="e">
        <f>#REF!</f>
        <v>#REF!</v>
      </c>
      <c r="J15" s="124" t="e">
        <f>#REF!</f>
        <v>#REF!</v>
      </c>
      <c r="K15" s="48">
        <v>40.8</v>
      </c>
      <c r="L15" s="48" t="s">
        <v>155</v>
      </c>
    </row>
    <row r="16" spans="1:12" s="44" customFormat="1" ht="24.75" customHeight="1">
      <c r="A16" s="48"/>
      <c r="B16" s="49" t="s">
        <v>157</v>
      </c>
      <c r="C16" s="48" t="s">
        <v>120</v>
      </c>
      <c r="D16" s="50" t="e">
        <f>#REF!</f>
        <v>#REF!</v>
      </c>
      <c r="E16" s="50" t="e">
        <f>#REF!</f>
        <v>#REF!</v>
      </c>
      <c r="F16" s="50" t="e">
        <f>#REF!</f>
        <v>#REF!</v>
      </c>
      <c r="G16" s="50" t="e">
        <f>#REF!</f>
        <v>#REF!</v>
      </c>
      <c r="H16" s="50" t="e">
        <f>#REF!</f>
        <v>#REF!</v>
      </c>
      <c r="I16" s="50" t="e">
        <f>#REF!</f>
        <v>#REF!</v>
      </c>
      <c r="J16" s="124" t="e">
        <f>#REF!</f>
        <v>#REF!</v>
      </c>
      <c r="K16" s="48">
        <v>40.5</v>
      </c>
      <c r="L16" s="48" t="s">
        <v>143</v>
      </c>
    </row>
    <row r="17" spans="1:15" s="44" customFormat="1" ht="32.25" customHeight="1">
      <c r="A17" s="48">
        <v>8</v>
      </c>
      <c r="B17" s="49" t="s">
        <v>158</v>
      </c>
      <c r="C17" s="48" t="s">
        <v>120</v>
      </c>
      <c r="D17" s="50" t="e">
        <f>#REF!</f>
        <v>#REF!</v>
      </c>
      <c r="E17" s="50" t="e">
        <f>#REF!</f>
        <v>#REF!</v>
      </c>
      <c r="F17" s="50" t="e">
        <f>#REF!</f>
        <v>#REF!</v>
      </c>
      <c r="G17" s="50" t="e">
        <f>#REF!</f>
        <v>#REF!</v>
      </c>
      <c r="H17" s="60" t="e">
        <f>#REF!</f>
        <v>#REF!</v>
      </c>
      <c r="I17" s="60" t="e">
        <f>#REF!</f>
        <v>#REF!</v>
      </c>
      <c r="J17" s="51" t="e">
        <f>#REF!</f>
        <v>#REF!</v>
      </c>
      <c r="K17" s="48">
        <v>20</v>
      </c>
      <c r="L17" s="48" t="s">
        <v>191</v>
      </c>
      <c r="O17" s="116"/>
    </row>
    <row r="18" spans="1:12" s="44" customFormat="1" ht="33" customHeight="1">
      <c r="A18" s="48">
        <v>9</v>
      </c>
      <c r="B18" s="49" t="s">
        <v>160</v>
      </c>
      <c r="C18" s="48" t="s">
        <v>120</v>
      </c>
      <c r="D18" s="50" t="e">
        <f>#REF!</f>
        <v>#REF!</v>
      </c>
      <c r="E18" s="50" t="e">
        <f>#REF!</f>
        <v>#REF!</v>
      </c>
      <c r="F18" s="50" t="e">
        <f>#REF!</f>
        <v>#REF!</v>
      </c>
      <c r="G18" s="50" t="e">
        <f>#REF!</f>
        <v>#REF!</v>
      </c>
      <c r="H18" s="50" t="e">
        <f>#REF!</f>
        <v>#REF!</v>
      </c>
      <c r="I18" s="50" t="e">
        <f>#REF!</f>
        <v>#REF!</v>
      </c>
      <c r="J18" s="48" t="e">
        <f>#REF!</f>
        <v>#REF!</v>
      </c>
      <c r="K18" s="48">
        <v>40</v>
      </c>
      <c r="L18" s="48" t="s">
        <v>149</v>
      </c>
    </row>
    <row r="19" spans="1:12" s="44" customFormat="1" ht="35.25" customHeight="1">
      <c r="A19" s="48">
        <v>10</v>
      </c>
      <c r="B19" s="49" t="s">
        <v>162</v>
      </c>
      <c r="C19" s="48" t="s">
        <v>120</v>
      </c>
      <c r="D19" s="50" t="s">
        <v>163</v>
      </c>
      <c r="E19" s="50">
        <v>27.2</v>
      </c>
      <c r="F19" s="48">
        <v>28.7</v>
      </c>
      <c r="G19" s="48">
        <v>27.6</v>
      </c>
      <c r="H19" s="48">
        <v>26.8</v>
      </c>
      <c r="I19" s="51" t="e">
        <f>#REF!</f>
        <v>#REF!</v>
      </c>
      <c r="J19" s="100" t="e">
        <f>#REF!</f>
        <v>#REF!</v>
      </c>
      <c r="K19" s="53">
        <v>23</v>
      </c>
      <c r="L19" s="48" t="s">
        <v>191</v>
      </c>
    </row>
    <row r="20" spans="1:12" s="44" customFormat="1" ht="24.75" customHeight="1">
      <c r="A20" s="48" t="s">
        <v>164</v>
      </c>
      <c r="B20" s="49" t="s">
        <v>165</v>
      </c>
      <c r="C20" s="48"/>
      <c r="D20" s="50"/>
      <c r="E20" s="50"/>
      <c r="F20" s="48"/>
      <c r="G20" s="48"/>
      <c r="H20" s="48"/>
      <c r="I20" s="48"/>
      <c r="J20" s="48"/>
      <c r="K20" s="48"/>
      <c r="L20" s="48"/>
    </row>
    <row r="21" spans="1:12" s="44" customFormat="1" ht="43.5" customHeight="1">
      <c r="A21" s="48">
        <v>11</v>
      </c>
      <c r="B21" s="49" t="s">
        <v>166</v>
      </c>
      <c r="C21" s="48" t="s">
        <v>167</v>
      </c>
      <c r="D21" s="50" t="s">
        <v>168</v>
      </c>
      <c r="E21" s="65" t="e">
        <f>#REF!</f>
        <v>#REF!</v>
      </c>
      <c r="F21" s="65" t="e">
        <f>#REF!</f>
        <v>#REF!</v>
      </c>
      <c r="G21" s="65" t="e">
        <f>#REF!</f>
        <v>#REF!</v>
      </c>
      <c r="H21" s="65" t="e">
        <f>#REF!</f>
        <v>#REF!</v>
      </c>
      <c r="I21" s="65" t="e">
        <f>#REF!</f>
        <v>#REF!</v>
      </c>
      <c r="J21" s="52" t="e">
        <f>#REF!</f>
        <v>#REF!</v>
      </c>
      <c r="K21" s="48" t="s">
        <v>217</v>
      </c>
      <c r="L21" s="48" t="s">
        <v>155</v>
      </c>
    </row>
    <row r="22" spans="1:12" s="44" customFormat="1" ht="30" customHeight="1">
      <c r="A22" s="48">
        <v>12</v>
      </c>
      <c r="B22" s="49" t="s">
        <v>169</v>
      </c>
      <c r="C22" s="48" t="s">
        <v>170</v>
      </c>
      <c r="D22" s="50" t="s">
        <v>171</v>
      </c>
      <c r="E22" s="50"/>
      <c r="F22" s="48">
        <v>183</v>
      </c>
      <c r="G22" s="48" t="s">
        <v>172</v>
      </c>
      <c r="H22" s="48" t="s">
        <v>173</v>
      </c>
      <c r="I22" s="117" t="e">
        <f>#REF!</f>
        <v>#REF!</v>
      </c>
      <c r="J22" s="48">
        <v>196</v>
      </c>
      <c r="K22" s="48">
        <v>204</v>
      </c>
      <c r="L22" s="48" t="s">
        <v>143</v>
      </c>
    </row>
    <row r="23" spans="1:12" s="44" customFormat="1" ht="28.5" customHeight="1">
      <c r="A23" s="48">
        <v>13</v>
      </c>
      <c r="B23" s="49" t="s">
        <v>174</v>
      </c>
      <c r="C23" s="48" t="s">
        <v>120</v>
      </c>
      <c r="D23" s="50" t="s">
        <v>161</v>
      </c>
      <c r="E23" s="50"/>
      <c r="F23" s="48">
        <v>27.8</v>
      </c>
      <c r="G23" s="48" t="s">
        <v>175</v>
      </c>
      <c r="H23" s="48" t="s">
        <v>176</v>
      </c>
      <c r="I23" s="51" t="str">
        <f>H23</f>
        <v>37</v>
      </c>
      <c r="J23" s="48">
        <v>40</v>
      </c>
      <c r="K23" s="48">
        <v>43</v>
      </c>
      <c r="L23" s="48" t="s">
        <v>149</v>
      </c>
    </row>
    <row r="24" spans="1:12" s="44" customFormat="1" ht="34.5" customHeight="1">
      <c r="A24" s="48">
        <v>14</v>
      </c>
      <c r="B24" s="49" t="s">
        <v>188</v>
      </c>
      <c r="C24" s="48" t="s">
        <v>120</v>
      </c>
      <c r="D24" s="50" t="s">
        <v>189</v>
      </c>
      <c r="E24" s="50"/>
      <c r="F24" s="48">
        <v>8.47</v>
      </c>
      <c r="G24" s="48">
        <v>21.5</v>
      </c>
      <c r="H24" s="48">
        <v>12.4</v>
      </c>
      <c r="I24" s="118" t="s">
        <v>241</v>
      </c>
      <c r="J24" s="48">
        <v>18</v>
      </c>
      <c r="K24" s="48"/>
      <c r="L24" s="48" t="s">
        <v>191</v>
      </c>
    </row>
    <row r="25" spans="1:12" s="44" customFormat="1" ht="24.75" customHeight="1">
      <c r="A25" s="48">
        <v>15</v>
      </c>
      <c r="B25" s="49" t="s">
        <v>177</v>
      </c>
      <c r="C25" s="48" t="s">
        <v>120</v>
      </c>
      <c r="D25" s="64" t="e">
        <f>#REF!</f>
        <v>#REF!</v>
      </c>
      <c r="E25" s="64" t="e">
        <f>#REF!</f>
        <v>#REF!</v>
      </c>
      <c r="F25" s="64" t="e">
        <f>#REF!</f>
        <v>#REF!</v>
      </c>
      <c r="G25" s="64" t="e">
        <f>#REF!</f>
        <v>#REF!</v>
      </c>
      <c r="H25" s="64" t="e">
        <f>#REF!</f>
        <v>#REF!</v>
      </c>
      <c r="I25" s="64" t="e">
        <f>#REF!</f>
        <v>#REF!</v>
      </c>
      <c r="J25" s="124" t="e">
        <f>#REF!</f>
        <v>#REF!</v>
      </c>
      <c r="K25" s="48">
        <v>1.16</v>
      </c>
      <c r="L25" s="48" t="s">
        <v>155</v>
      </c>
    </row>
    <row r="26" spans="1:12" s="44" customFormat="1" ht="24.75" customHeight="1">
      <c r="A26" s="48">
        <v>16</v>
      </c>
      <c r="B26" s="49" t="s">
        <v>178</v>
      </c>
      <c r="C26" s="48" t="s">
        <v>179</v>
      </c>
      <c r="D26" s="50" t="s">
        <v>216</v>
      </c>
      <c r="E26" s="50" t="e">
        <f>#REF!</f>
        <v>#REF!</v>
      </c>
      <c r="F26" s="50" t="e">
        <f>#REF!</f>
        <v>#REF!</v>
      </c>
      <c r="G26" s="50" t="e">
        <f>#REF!</f>
        <v>#REF!</v>
      </c>
      <c r="H26" s="50" t="e">
        <f>#REF!</f>
        <v>#REF!</v>
      </c>
      <c r="I26" s="50" t="e">
        <f>#REF!</f>
        <v>#REF!</v>
      </c>
      <c r="J26" s="48" t="e">
        <f>#REF!</f>
        <v>#REF!</v>
      </c>
      <c r="K26" s="48">
        <v>1.8</v>
      </c>
      <c r="L26" s="48" t="s">
        <v>191</v>
      </c>
    </row>
    <row r="27" spans="1:12" s="44" customFormat="1" ht="24.75" customHeight="1">
      <c r="A27" s="48">
        <v>17</v>
      </c>
      <c r="B27" s="49" t="s">
        <v>180</v>
      </c>
      <c r="C27" s="48" t="s">
        <v>120</v>
      </c>
      <c r="D27" s="64" t="e">
        <f>#REF!</f>
        <v>#REF!</v>
      </c>
      <c r="E27" s="64" t="e">
        <f>#REF!</f>
        <v>#REF!</v>
      </c>
      <c r="F27" s="64" t="e">
        <f>#REF!</f>
        <v>#REF!</v>
      </c>
      <c r="G27" s="64" t="e">
        <f>#REF!</f>
        <v>#REF!</v>
      </c>
      <c r="H27" s="64" t="e">
        <f>#REF!</f>
        <v>#REF!</v>
      </c>
      <c r="I27" s="64" t="e">
        <f>#REF!</f>
        <v>#REF!</v>
      </c>
      <c r="J27" s="124" t="e">
        <f>#REF!</f>
        <v>#REF!</v>
      </c>
      <c r="K27" s="48" t="s">
        <v>238</v>
      </c>
      <c r="L27" s="48" t="s">
        <v>191</v>
      </c>
    </row>
    <row r="28" spans="1:12" s="44" customFormat="1" ht="51" customHeight="1">
      <c r="A28" s="48">
        <v>18</v>
      </c>
      <c r="B28" s="49" t="s">
        <v>181</v>
      </c>
      <c r="C28" s="48" t="s">
        <v>120</v>
      </c>
      <c r="D28" s="50" t="e">
        <f>#REF!</f>
        <v>#REF!</v>
      </c>
      <c r="E28" s="50" t="e">
        <f>#REF!</f>
        <v>#REF!</v>
      </c>
      <c r="F28" s="50" t="e">
        <f>#REF!</f>
        <v>#REF!</v>
      </c>
      <c r="G28" s="50" t="e">
        <f>#REF!</f>
        <v>#REF!</v>
      </c>
      <c r="H28" s="50" t="e">
        <f>#REF!</f>
        <v>#REF!</v>
      </c>
      <c r="I28" s="66" t="e">
        <f>#REF!</f>
        <v>#REF!</v>
      </c>
      <c r="J28" s="66" t="e">
        <f>#REF!</f>
        <v>#REF!</v>
      </c>
      <c r="K28" s="48"/>
      <c r="L28" s="48" t="s">
        <v>143</v>
      </c>
    </row>
    <row r="29" spans="1:12" s="44" customFormat="1" ht="24.75" customHeight="1">
      <c r="A29" s="48">
        <v>19</v>
      </c>
      <c r="B29" s="49" t="s">
        <v>182</v>
      </c>
      <c r="C29" s="48" t="s">
        <v>183</v>
      </c>
      <c r="D29" s="50" t="s">
        <v>184</v>
      </c>
      <c r="E29" s="50"/>
      <c r="F29" s="48" t="s">
        <v>185</v>
      </c>
      <c r="G29" s="48" t="s">
        <v>185</v>
      </c>
      <c r="H29" s="54">
        <v>71.7</v>
      </c>
      <c r="I29" s="51">
        <f>H29</f>
        <v>71.7</v>
      </c>
      <c r="J29" s="48" t="s">
        <v>184</v>
      </c>
      <c r="K29" s="48"/>
      <c r="L29" s="48" t="s">
        <v>149</v>
      </c>
    </row>
    <row r="30" spans="1:12" s="44" customFormat="1" ht="33" customHeight="1">
      <c r="A30" s="801" t="s">
        <v>242</v>
      </c>
      <c r="B30" s="801"/>
      <c r="C30" s="801"/>
      <c r="D30" s="801"/>
      <c r="E30" s="801"/>
      <c r="F30" s="801"/>
      <c r="G30" s="801"/>
      <c r="H30" s="801"/>
      <c r="I30" s="801"/>
      <c r="J30" s="801"/>
      <c r="K30" s="801"/>
      <c r="L30" s="801"/>
    </row>
    <row r="31" spans="1:12" s="44" customFormat="1" ht="36.75" customHeight="1">
      <c r="A31" s="45">
        <v>20</v>
      </c>
      <c r="B31" s="46" t="s">
        <v>186</v>
      </c>
      <c r="C31" s="45" t="s">
        <v>120</v>
      </c>
      <c r="D31" s="47">
        <v>15</v>
      </c>
      <c r="E31" s="47"/>
      <c r="F31" s="45" t="s">
        <v>187</v>
      </c>
      <c r="G31" s="45">
        <v>20.8</v>
      </c>
      <c r="H31" s="45" t="s">
        <v>159</v>
      </c>
      <c r="I31" s="119" t="e">
        <f>(F31+G31+H31)/3</f>
        <v>#VALUE!</v>
      </c>
      <c r="J31" s="45">
        <v>17</v>
      </c>
      <c r="K31" s="45">
        <v>18.5</v>
      </c>
      <c r="L31" s="45" t="s">
        <v>191</v>
      </c>
    </row>
    <row r="32" spans="1:12" s="44" customFormat="1" ht="32.25" customHeight="1">
      <c r="A32" s="48">
        <v>21</v>
      </c>
      <c r="B32" s="49" t="s">
        <v>190</v>
      </c>
      <c r="C32" s="48" t="s">
        <v>128</v>
      </c>
      <c r="D32" s="68" t="e">
        <f>#REF!</f>
        <v>#REF!</v>
      </c>
      <c r="E32" s="68" t="e">
        <f>#REF!</f>
        <v>#REF!</v>
      </c>
      <c r="F32" s="68" t="e">
        <f>#REF!</f>
        <v>#REF!</v>
      </c>
      <c r="G32" s="68" t="e">
        <f>#REF!</f>
        <v>#REF!</v>
      </c>
      <c r="H32" s="68" t="e">
        <f>#REF!</f>
        <v>#REF!</v>
      </c>
      <c r="I32" s="68" t="e">
        <f>#REF!</f>
        <v>#REF!</v>
      </c>
      <c r="J32" s="54" t="e">
        <f>#REF!</f>
        <v>#REF!</v>
      </c>
      <c r="K32" s="54">
        <v>15</v>
      </c>
      <c r="L32" s="48" t="s">
        <v>191</v>
      </c>
    </row>
    <row r="33" spans="1:12" s="44" customFormat="1" ht="33.75" customHeight="1">
      <c r="A33" s="48">
        <v>22</v>
      </c>
      <c r="B33" s="49" t="s">
        <v>192</v>
      </c>
      <c r="C33" s="48" t="s">
        <v>120</v>
      </c>
      <c r="D33" s="50" t="e">
        <f>#REF!</f>
        <v>#REF!</v>
      </c>
      <c r="E33" s="50" t="e">
        <f>#REF!</f>
        <v>#REF!</v>
      </c>
      <c r="F33" s="50" t="e">
        <f>#REF!</f>
        <v>#REF!</v>
      </c>
      <c r="G33" s="50" t="e">
        <f>#REF!</f>
        <v>#REF!</v>
      </c>
      <c r="H33" s="50" t="e">
        <f>#REF!</f>
        <v>#REF!</v>
      </c>
      <c r="I33" s="50" t="e">
        <f>#REF!</f>
        <v>#REF!</v>
      </c>
      <c r="J33" s="54" t="e">
        <f>#REF!</f>
        <v>#REF!</v>
      </c>
      <c r="K33" s="54" t="s">
        <v>212</v>
      </c>
      <c r="L33" s="48" t="s">
        <v>191</v>
      </c>
    </row>
    <row r="34" spans="1:12" s="44" customFormat="1" ht="31.5" customHeight="1">
      <c r="A34" s="48">
        <v>23</v>
      </c>
      <c r="B34" s="49" t="s">
        <v>193</v>
      </c>
      <c r="C34" s="48" t="s">
        <v>127</v>
      </c>
      <c r="D34" s="68" t="e">
        <f>#REF!</f>
        <v>#REF!</v>
      </c>
      <c r="E34" s="68" t="e">
        <f>#REF!</f>
        <v>#REF!</v>
      </c>
      <c r="F34" s="68" t="e">
        <f>#REF!</f>
        <v>#REF!</v>
      </c>
      <c r="G34" s="68" t="e">
        <f>#REF!</f>
        <v>#REF!</v>
      </c>
      <c r="H34" s="68" t="e">
        <f>#REF!</f>
        <v>#REF!</v>
      </c>
      <c r="I34" s="68" t="e">
        <f>#REF!</f>
        <v>#REF!</v>
      </c>
      <c r="J34" s="54" t="e">
        <f>#REF!</f>
        <v>#REF!</v>
      </c>
      <c r="K34" s="54">
        <v>74</v>
      </c>
      <c r="L34" s="48" t="s">
        <v>155</v>
      </c>
    </row>
    <row r="35" spans="1:12" s="44" customFormat="1" ht="24.75" customHeight="1">
      <c r="A35" s="48">
        <v>24</v>
      </c>
      <c r="B35" s="49" t="s">
        <v>194</v>
      </c>
      <c r="C35" s="48" t="s">
        <v>195</v>
      </c>
      <c r="D35" s="60" t="e">
        <f>#REF!</f>
        <v>#REF!</v>
      </c>
      <c r="E35" s="60" t="e">
        <f>#REF!</f>
        <v>#REF!</v>
      </c>
      <c r="F35" s="60" t="e">
        <f>#REF!</f>
        <v>#REF!</v>
      </c>
      <c r="G35" s="60" t="e">
        <f>#REF!</f>
        <v>#REF!</v>
      </c>
      <c r="H35" s="60" t="e">
        <f>#REF!</f>
        <v>#REF!</v>
      </c>
      <c r="I35" s="60" t="e">
        <f>#REF!</f>
        <v>#REF!</v>
      </c>
      <c r="J35" s="60" t="e">
        <f>#REF!</f>
        <v>#REF!</v>
      </c>
      <c r="K35" s="48">
        <v>7</v>
      </c>
      <c r="L35" s="48" t="s">
        <v>143</v>
      </c>
    </row>
    <row r="36" spans="1:12" s="44" customFormat="1" ht="35.25" customHeight="1">
      <c r="A36" s="48">
        <v>25</v>
      </c>
      <c r="B36" s="49" t="s">
        <v>196</v>
      </c>
      <c r="C36" s="48" t="s">
        <v>120</v>
      </c>
      <c r="D36" s="67" t="e">
        <f>#REF!</f>
        <v>#REF!</v>
      </c>
      <c r="E36" s="67" t="e">
        <f>#REF!</f>
        <v>#REF!</v>
      </c>
      <c r="F36" s="67" t="e">
        <f>#REF!</f>
        <v>#REF!</v>
      </c>
      <c r="G36" s="67" t="e">
        <f>#REF!</f>
        <v>#REF!</v>
      </c>
      <c r="H36" s="67" t="e">
        <f>#REF!</f>
        <v>#REF!</v>
      </c>
      <c r="I36" s="51" t="e">
        <f>#REF!</f>
        <v>#REF!</v>
      </c>
      <c r="J36" s="48" t="e">
        <f>#REF!</f>
        <v>#REF!</v>
      </c>
      <c r="K36" s="61" t="s">
        <v>126</v>
      </c>
      <c r="L36" s="48" t="s">
        <v>143</v>
      </c>
    </row>
    <row r="37" spans="1:12" s="44" customFormat="1" ht="24.75" customHeight="1">
      <c r="A37" s="48">
        <v>26</v>
      </c>
      <c r="B37" s="49" t="s">
        <v>197</v>
      </c>
      <c r="C37" s="48" t="s">
        <v>198</v>
      </c>
      <c r="D37" s="65" t="e">
        <f>#REF!</f>
        <v>#REF!</v>
      </c>
      <c r="E37" s="65" t="e">
        <f>#REF!</f>
        <v>#REF!</v>
      </c>
      <c r="F37" s="65" t="e">
        <f>#REF!</f>
        <v>#REF!</v>
      </c>
      <c r="G37" s="65" t="e">
        <f>#REF!</f>
        <v>#REF!</v>
      </c>
      <c r="H37" s="65" t="e">
        <f>#REF!</f>
        <v>#REF!</v>
      </c>
      <c r="I37" s="68" t="e">
        <f>#REF!</f>
        <v>#REF!</v>
      </c>
      <c r="J37" s="48" t="e">
        <f>#REF!</f>
        <v>#REF!</v>
      </c>
      <c r="K37" s="48">
        <v>100</v>
      </c>
      <c r="L37" s="48" t="s">
        <v>191</v>
      </c>
    </row>
    <row r="38" spans="1:12" s="44" customFormat="1" ht="24.75" customHeight="1">
      <c r="A38" s="48">
        <v>27</v>
      </c>
      <c r="B38" s="49" t="s">
        <v>199</v>
      </c>
      <c r="C38" s="48" t="s">
        <v>200</v>
      </c>
      <c r="D38" s="50" t="e">
        <f>#REF!</f>
        <v>#REF!</v>
      </c>
      <c r="E38" s="50" t="e">
        <f>#REF!</f>
        <v>#REF!</v>
      </c>
      <c r="F38" s="50" t="e">
        <f>#REF!</f>
        <v>#REF!</v>
      </c>
      <c r="G38" s="50" t="e">
        <f>#REF!</f>
        <v>#REF!</v>
      </c>
      <c r="H38" s="50" t="e">
        <f>#REF!</f>
        <v>#REF!</v>
      </c>
      <c r="I38" s="50" t="e">
        <f>#REF!</f>
        <v>#REF!</v>
      </c>
      <c r="J38" s="124" t="e">
        <f>#REF!</f>
        <v>#REF!</v>
      </c>
      <c r="K38" s="48">
        <v>9.5</v>
      </c>
      <c r="L38" s="48" t="s">
        <v>155</v>
      </c>
    </row>
    <row r="39" spans="1:12" s="44" customFormat="1" ht="24.75" customHeight="1">
      <c r="A39" s="48" t="s">
        <v>201</v>
      </c>
      <c r="B39" s="49" t="s">
        <v>202</v>
      </c>
      <c r="C39" s="48"/>
      <c r="D39" s="50"/>
      <c r="E39" s="50"/>
      <c r="F39" s="48"/>
      <c r="G39" s="48"/>
      <c r="H39" s="48"/>
      <c r="I39" s="48"/>
      <c r="J39" s="48"/>
      <c r="K39" s="48"/>
      <c r="L39" s="48"/>
    </row>
    <row r="40" spans="1:12" s="44" customFormat="1" ht="24.75" customHeight="1">
      <c r="A40" s="48">
        <v>28</v>
      </c>
      <c r="B40" s="49" t="s">
        <v>203</v>
      </c>
      <c r="C40" s="48" t="s">
        <v>120</v>
      </c>
      <c r="D40" s="50" t="e">
        <f>#REF!</f>
        <v>#REF!</v>
      </c>
      <c r="E40" s="50" t="e">
        <f>#REF!</f>
        <v>#REF!</v>
      </c>
      <c r="F40" s="50" t="e">
        <f>#REF!</f>
        <v>#REF!</v>
      </c>
      <c r="G40" s="50" t="e">
        <f>#REF!</f>
        <v>#REF!</v>
      </c>
      <c r="H40" s="50" t="e">
        <f>#REF!</f>
        <v>#REF!</v>
      </c>
      <c r="I40" s="59" t="e">
        <f>+#REF!</f>
        <v>#REF!</v>
      </c>
      <c r="J40" s="48" t="e">
        <f>#REF!</f>
        <v>#REF!</v>
      </c>
      <c r="K40" s="48">
        <v>40.6</v>
      </c>
      <c r="L40" s="48" t="s">
        <v>155</v>
      </c>
    </row>
    <row r="41" spans="1:12" s="44" customFormat="1" ht="34.5" customHeight="1">
      <c r="A41" s="48">
        <v>29</v>
      </c>
      <c r="B41" s="49" t="s">
        <v>204</v>
      </c>
      <c r="C41" s="48" t="s">
        <v>120</v>
      </c>
      <c r="D41" s="60" t="e">
        <f>#REF!</f>
        <v>#REF!</v>
      </c>
      <c r="E41" s="60" t="e">
        <f>#REF!</f>
        <v>#REF!</v>
      </c>
      <c r="F41" s="60" t="e">
        <f>#REF!</f>
        <v>#REF!</v>
      </c>
      <c r="G41" s="60" t="e">
        <f>#REF!</f>
        <v>#REF!</v>
      </c>
      <c r="H41" s="60" t="e">
        <f>#REF!</f>
        <v>#REF!</v>
      </c>
      <c r="I41" s="51" t="e">
        <f>+#REF!</f>
        <v>#REF!</v>
      </c>
      <c r="J41" s="48" t="e">
        <f>#REF!</f>
        <v>#REF!</v>
      </c>
      <c r="K41" s="48">
        <v>84</v>
      </c>
      <c r="L41" s="48" t="s">
        <v>191</v>
      </c>
    </row>
    <row r="42" spans="1:12" s="44" customFormat="1" ht="31.5" customHeight="1">
      <c r="A42" s="48">
        <v>30</v>
      </c>
      <c r="B42" s="49" t="s">
        <v>205</v>
      </c>
      <c r="C42" s="48" t="s">
        <v>120</v>
      </c>
      <c r="D42" s="60" t="e">
        <f>#REF!</f>
        <v>#REF!</v>
      </c>
      <c r="E42" s="60" t="e">
        <f>#REF!</f>
        <v>#REF!</v>
      </c>
      <c r="F42" s="60" t="e">
        <f>#REF!</f>
        <v>#REF!</v>
      </c>
      <c r="G42" s="60" t="e">
        <f>#REF!</f>
        <v>#REF!</v>
      </c>
      <c r="H42" s="60" t="e">
        <f>#REF!</f>
        <v>#REF!</v>
      </c>
      <c r="I42" s="60" t="e">
        <f>#REF!</f>
        <v>#REF!</v>
      </c>
      <c r="J42" s="48" t="e">
        <f>#REF!</f>
        <v>#REF!</v>
      </c>
      <c r="K42" s="48">
        <v>95</v>
      </c>
      <c r="L42" s="48" t="s">
        <v>143</v>
      </c>
    </row>
    <row r="43" spans="1:12" s="41" customFormat="1" ht="17.25" thickBot="1">
      <c r="A43" s="42"/>
      <c r="B43" s="42"/>
      <c r="C43" s="42"/>
      <c r="D43" s="43"/>
      <c r="E43" s="43"/>
      <c r="F43" s="42"/>
      <c r="G43" s="42"/>
      <c r="H43" s="42"/>
      <c r="I43" s="42"/>
      <c r="J43" s="42"/>
      <c r="K43" s="42"/>
      <c r="L43" s="42"/>
    </row>
    <row r="44" ht="13.5" thickTop="1"/>
  </sheetData>
  <sheetProtection/>
  <mergeCells count="14">
    <mergeCell ref="A30:L30"/>
    <mergeCell ref="A1:L1"/>
    <mergeCell ref="A2:L2"/>
    <mergeCell ref="A4:A5"/>
    <mergeCell ref="B4:B5"/>
    <mergeCell ref="C4:C5"/>
    <mergeCell ref="I4:I5"/>
    <mergeCell ref="J4:K4"/>
    <mergeCell ref="L4:L5"/>
    <mergeCell ref="E4:E5"/>
    <mergeCell ref="D4:D5"/>
    <mergeCell ref="F4:F5"/>
    <mergeCell ref="G4:G5"/>
    <mergeCell ref="H4:H5"/>
  </mergeCells>
  <printOptions/>
  <pageMargins left="0.62" right="0.41" top="0.9" bottom="1.2" header="0.43" footer="0.5"/>
  <pageSetup horizontalDpi="300" verticalDpi="300" orientation="landscape" paperSize="9" scale="95" r:id="rId3"/>
  <headerFooter alignWithMargins="0">
    <oddFooter>&amp;C&amp;P</oddFooter>
  </headerFooter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4:S16"/>
  <sheetViews>
    <sheetView zoomScalePageLayoutView="0" workbookViewId="0" topLeftCell="A1">
      <selection activeCell="A28" sqref="A28"/>
    </sheetView>
  </sheetViews>
  <sheetFormatPr defaultColWidth="9.140625" defaultRowHeight="12.75"/>
  <cols>
    <col min="2" max="2" width="7.00390625" style="0" customWidth="1"/>
    <col min="4" max="4" width="7.8515625" style="0" customWidth="1"/>
    <col min="5" max="5" width="8.57421875" style="0" customWidth="1"/>
    <col min="6" max="7" width="7.140625" style="0" customWidth="1"/>
    <col min="8" max="8" width="7.00390625" style="0" customWidth="1"/>
    <col min="9" max="9" width="6.8515625" style="0" customWidth="1"/>
    <col min="10" max="10" width="7.8515625" style="0" customWidth="1"/>
    <col min="11" max="11" width="7.421875" style="0" customWidth="1"/>
    <col min="12" max="12" width="7.140625" style="0" customWidth="1"/>
    <col min="13" max="13" width="7.57421875" style="0" customWidth="1"/>
    <col min="14" max="14" width="7.421875" style="0" customWidth="1"/>
    <col min="15" max="15" width="7.57421875" style="0" customWidth="1"/>
    <col min="16" max="16" width="9.8515625" style="0" customWidth="1"/>
    <col min="17" max="17" width="7.421875" style="0" customWidth="1"/>
  </cols>
  <sheetData>
    <row r="4" spans="1:18" ht="12.75">
      <c r="A4" s="128"/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35" t="s">
        <v>286</v>
      </c>
    </row>
    <row r="5" spans="1:17" ht="12.75">
      <c r="A5" s="128"/>
      <c r="B5" s="128">
        <v>2010</v>
      </c>
      <c r="C5" s="854">
        <v>2011</v>
      </c>
      <c r="D5" s="854"/>
      <c r="E5" s="854"/>
      <c r="F5" s="854">
        <v>2012</v>
      </c>
      <c r="G5" s="854"/>
      <c r="H5" s="854"/>
      <c r="I5" s="854">
        <v>2013</v>
      </c>
      <c r="J5" s="854"/>
      <c r="K5" s="854"/>
      <c r="L5" s="854">
        <v>2014</v>
      </c>
      <c r="M5" s="854"/>
      <c r="N5" s="854"/>
      <c r="O5" s="854">
        <v>2015</v>
      </c>
      <c r="P5" s="854"/>
      <c r="Q5" s="854"/>
    </row>
    <row r="6" spans="1:19" ht="15">
      <c r="A6" s="128"/>
      <c r="B6" s="128"/>
      <c r="C6" s="129" t="s">
        <v>281</v>
      </c>
      <c r="D6" s="129" t="s">
        <v>282</v>
      </c>
      <c r="E6" s="129" t="s">
        <v>283</v>
      </c>
      <c r="F6" s="130" t="s">
        <v>281</v>
      </c>
      <c r="G6" s="130" t="s">
        <v>282</v>
      </c>
      <c r="H6" s="130" t="s">
        <v>283</v>
      </c>
      <c r="I6" s="129" t="s">
        <v>281</v>
      </c>
      <c r="J6" s="129" t="s">
        <v>282</v>
      </c>
      <c r="K6" s="129" t="s">
        <v>283</v>
      </c>
      <c r="L6" s="130" t="s">
        <v>281</v>
      </c>
      <c r="M6" s="130" t="s">
        <v>282</v>
      </c>
      <c r="N6" s="130" t="s">
        <v>283</v>
      </c>
      <c r="O6" s="129" t="s">
        <v>281</v>
      </c>
      <c r="P6" s="129" t="s">
        <v>282</v>
      </c>
      <c r="Q6" s="129" t="s">
        <v>283</v>
      </c>
      <c r="R6" s="136" t="s">
        <v>281</v>
      </c>
      <c r="S6" s="136" t="s">
        <v>282</v>
      </c>
    </row>
    <row r="7" spans="1:19" ht="57">
      <c r="A7" s="131" t="s">
        <v>122</v>
      </c>
      <c r="B7" s="128">
        <v>1968.55</v>
      </c>
      <c r="C7" s="128">
        <f>B7*(1+C11%)*(1+C14)</f>
        <v>2264.22621</v>
      </c>
      <c r="D7" s="128">
        <f>C7*(1+D11%)*(1+D14)</f>
        <v>2628.76662981</v>
      </c>
      <c r="E7" s="128">
        <f>(C7+D7)/2</f>
        <v>2446.496419905</v>
      </c>
      <c r="F7" s="128">
        <f>E7*(1+F11%)*(1+F14)</f>
        <v>2819.244614441726</v>
      </c>
      <c r="G7" s="128">
        <f>E7*(1+G11%)*(1+G14)</f>
        <v>2845.6667757767</v>
      </c>
      <c r="H7" s="128">
        <f>(F7+G7)/2</f>
        <v>2832.4556951092127</v>
      </c>
      <c r="I7" s="128">
        <f>H7*(1+I11%)*(1+I14)</f>
        <v>3270.126749117488</v>
      </c>
      <c r="J7" s="128">
        <f>H7*(1+J11%)*(1+J14)</f>
        <v>3300.717270624668</v>
      </c>
      <c r="K7" s="128">
        <f>(I7+J7)/2</f>
        <v>3285.422009871078</v>
      </c>
      <c r="L7" s="128">
        <f>K7*(1+L11%)*(1+L14)</f>
        <v>3803.7301861483397</v>
      </c>
      <c r="M7" s="128">
        <f>K7*(1+M11%)*(1+M14)</f>
        <v>3839.2127438549473</v>
      </c>
      <c r="N7" s="128">
        <f>(L7+M7)/2</f>
        <v>3821.4714650016435</v>
      </c>
      <c r="O7" s="128">
        <f>N7*(1+O11%)*(1+O14)</f>
        <v>4436.728370866908</v>
      </c>
      <c r="P7" s="128">
        <f>N7*(1+P11%)*(1+P14)</f>
        <v>4478.000262688925</v>
      </c>
      <c r="Q7" s="128">
        <f>(O7+P7)/2</f>
        <v>4457.364316777917</v>
      </c>
      <c r="R7">
        <f>C7+F7+I7+L7+O7</f>
        <v>16594.05613057446</v>
      </c>
      <c r="S7">
        <f>D7+G7+J7+M7+P7</f>
        <v>17092.36368275524</v>
      </c>
    </row>
    <row r="8" spans="1:19" ht="42.75">
      <c r="A8" s="131" t="s">
        <v>123</v>
      </c>
      <c r="B8" s="128">
        <v>108.15</v>
      </c>
      <c r="C8" s="128">
        <f>C7/C15</f>
        <v>121.73259193548385</v>
      </c>
      <c r="D8" s="128">
        <f>D7/D15</f>
        <v>141.33153923709676</v>
      </c>
      <c r="E8" s="128"/>
      <c r="F8" s="128">
        <f>F7/F15</f>
        <v>147.604430075483</v>
      </c>
      <c r="G8" s="128">
        <f>G7/G15</f>
        <v>148.98778930768063</v>
      </c>
      <c r="H8" s="128"/>
      <c r="I8" s="128">
        <f>I7/I15</f>
        <v>166.84320148558612</v>
      </c>
      <c r="J8" s="128">
        <f>J7/J15</f>
        <v>168.40394237880957</v>
      </c>
      <c r="K8" s="128"/>
      <c r="L8" s="128">
        <f>L7/L15</f>
        <v>187.37587123883446</v>
      </c>
      <c r="M8" s="128">
        <f>M7/M15</f>
        <v>189.12378048546537</v>
      </c>
      <c r="N8" s="128"/>
      <c r="O8" s="128">
        <f>O7/O15</f>
        <v>212.28365410846453</v>
      </c>
      <c r="P8" s="128">
        <f>P7/P15</f>
        <v>214.25838577458975</v>
      </c>
      <c r="Q8" s="128"/>
      <c r="R8">
        <f>C8+F8+I8+L8+O8</f>
        <v>835.839748843852</v>
      </c>
      <c r="S8">
        <f>D8+G8+J8+M8+P8</f>
        <v>862.105437183642</v>
      </c>
    </row>
    <row r="9" spans="1:19" ht="71.25">
      <c r="A9" s="131" t="s">
        <v>124</v>
      </c>
      <c r="B9" s="128">
        <v>1225.5</v>
      </c>
      <c r="C9" s="128">
        <f>C8*1000/C16</f>
        <v>1363.9506099213877</v>
      </c>
      <c r="D9" s="128">
        <f>D8*1000/D16</f>
        <v>1583.546658118731</v>
      </c>
      <c r="E9" s="128"/>
      <c r="F9" s="128">
        <f>F8*1000/F16</f>
        <v>1635.5061504208645</v>
      </c>
      <c r="G9" s="128">
        <f>G8*1000/G16</f>
        <v>1650.834230556018</v>
      </c>
      <c r="H9" s="128"/>
      <c r="I9" s="128">
        <f>I8*1000/I16</f>
        <v>1832.2337083855273</v>
      </c>
      <c r="J9" s="128">
        <f>J8*1000/J16</f>
        <v>1849.3734063124268</v>
      </c>
      <c r="K9" s="128"/>
      <c r="L9" s="128">
        <f>L8*1000/L16</f>
        <v>2039.7982934774054</v>
      </c>
      <c r="M9" s="128">
        <f>M8*1000/M16</f>
        <v>2058.826262632978</v>
      </c>
      <c r="N9" s="128"/>
      <c r="O9" s="128">
        <f>O8*1000/O16</f>
        <v>2291.242893777275</v>
      </c>
      <c r="P9" s="128">
        <f>P8*1000/P16</f>
        <v>2312.556781161249</v>
      </c>
      <c r="Q9" s="128"/>
      <c r="R9">
        <f>O9</f>
        <v>2291.242893777275</v>
      </c>
      <c r="S9">
        <f>P9</f>
        <v>2312.556781161249</v>
      </c>
    </row>
    <row r="10" spans="1:17" ht="12.75">
      <c r="A10" s="128"/>
      <c r="B10" s="128"/>
      <c r="C10" s="128"/>
      <c r="D10" s="128"/>
      <c r="E10" s="128"/>
      <c r="F10" s="128"/>
      <c r="G10" s="128"/>
      <c r="H10" s="128"/>
      <c r="I10" s="128"/>
      <c r="J10" s="128"/>
      <c r="K10" s="128"/>
      <c r="L10" s="128"/>
      <c r="M10" s="128"/>
      <c r="N10" s="128"/>
      <c r="O10" s="128"/>
      <c r="P10" s="128"/>
      <c r="Q10" s="128"/>
    </row>
    <row r="11" spans="1:17" ht="45">
      <c r="A11" s="132" t="s">
        <v>119</v>
      </c>
      <c r="B11" s="128"/>
      <c r="C11" s="128">
        <v>6.5</v>
      </c>
      <c r="D11" s="128">
        <v>7.5</v>
      </c>
      <c r="E11" s="128"/>
      <c r="F11" s="128">
        <v>6.7</v>
      </c>
      <c r="G11" s="128">
        <v>7.7</v>
      </c>
      <c r="H11" s="128"/>
      <c r="I11" s="128">
        <v>6.9</v>
      </c>
      <c r="J11" s="128">
        <v>7.9</v>
      </c>
      <c r="K11" s="128"/>
      <c r="L11" s="128">
        <v>7.2</v>
      </c>
      <c r="M11" s="128">
        <v>8.2</v>
      </c>
      <c r="N11" s="128"/>
      <c r="O11" s="128">
        <v>7.5</v>
      </c>
      <c r="P11" s="128">
        <v>8.5</v>
      </c>
      <c r="Q11" s="128"/>
    </row>
    <row r="12" spans="1:17" ht="12.75">
      <c r="A12" s="128"/>
      <c r="B12" s="128"/>
      <c r="C12" s="128"/>
      <c r="D12" s="128"/>
      <c r="E12" s="128"/>
      <c r="F12" s="128"/>
      <c r="G12" s="128"/>
      <c r="H12" s="128"/>
      <c r="I12" s="128"/>
      <c r="J12" s="128"/>
      <c r="K12" s="128"/>
      <c r="L12" s="128"/>
      <c r="M12" s="128"/>
      <c r="N12" s="128"/>
      <c r="O12" s="128"/>
      <c r="P12" s="128"/>
      <c r="Q12" s="128"/>
    </row>
    <row r="13" spans="1:17" ht="12.75">
      <c r="A13" s="128"/>
      <c r="B13" s="128"/>
      <c r="C13" s="128"/>
      <c r="D13" s="128"/>
      <c r="E13" s="128"/>
      <c r="F13" s="128"/>
      <c r="G13" s="128"/>
      <c r="H13" s="128"/>
      <c r="I13" s="128"/>
      <c r="J13" s="128"/>
      <c r="K13" s="128"/>
      <c r="L13" s="128"/>
      <c r="M13" s="128"/>
      <c r="N13" s="128"/>
      <c r="O13" s="128"/>
      <c r="P13" s="128"/>
      <c r="Q13" s="128"/>
    </row>
    <row r="14" spans="1:17" ht="12.75">
      <c r="A14" s="128" t="s">
        <v>280</v>
      </c>
      <c r="B14" s="128"/>
      <c r="C14" s="133">
        <v>0.08</v>
      </c>
      <c r="D14" s="133">
        <v>0.08</v>
      </c>
      <c r="E14" s="133">
        <v>0.08</v>
      </c>
      <c r="F14" s="133">
        <v>0.08</v>
      </c>
      <c r="G14" s="133">
        <v>0.08</v>
      </c>
      <c r="H14" s="133">
        <v>0.08</v>
      </c>
      <c r="I14" s="133">
        <v>0.08</v>
      </c>
      <c r="J14" s="133">
        <v>0.08</v>
      </c>
      <c r="K14" s="133">
        <v>0.08</v>
      </c>
      <c r="L14" s="133">
        <v>0.08</v>
      </c>
      <c r="M14" s="133">
        <v>0.08</v>
      </c>
      <c r="N14" s="133">
        <v>0.08</v>
      </c>
      <c r="O14" s="133">
        <v>0.08</v>
      </c>
      <c r="P14" s="133">
        <v>0.08</v>
      </c>
      <c r="Q14" s="133">
        <v>0.08</v>
      </c>
    </row>
    <row r="15" spans="1:17" ht="12.75">
      <c r="A15" s="128" t="s">
        <v>284</v>
      </c>
      <c r="B15" s="128"/>
      <c r="C15" s="128">
        <v>18.6</v>
      </c>
      <c r="D15" s="128">
        <v>18.6</v>
      </c>
      <c r="E15" s="128">
        <v>18.6</v>
      </c>
      <c r="F15" s="128">
        <v>19.1</v>
      </c>
      <c r="G15" s="128">
        <v>19.1</v>
      </c>
      <c r="H15" s="128">
        <v>19.1</v>
      </c>
      <c r="I15" s="128">
        <v>19.6</v>
      </c>
      <c r="J15" s="128">
        <v>19.6</v>
      </c>
      <c r="K15" s="128">
        <v>19.6</v>
      </c>
      <c r="L15" s="128">
        <v>20.3</v>
      </c>
      <c r="M15" s="128">
        <v>20.3</v>
      </c>
      <c r="N15" s="128">
        <v>20.3</v>
      </c>
      <c r="O15" s="128">
        <v>20.9</v>
      </c>
      <c r="P15" s="128">
        <v>20.9</v>
      </c>
      <c r="Q15" s="128">
        <v>20.9</v>
      </c>
    </row>
    <row r="16" spans="1:17" ht="14.25">
      <c r="A16" s="128" t="s">
        <v>285</v>
      </c>
      <c r="B16" s="128"/>
      <c r="C16" s="134">
        <v>89.25</v>
      </c>
      <c r="D16" s="134">
        <v>89.25</v>
      </c>
      <c r="E16" s="134">
        <v>89.25</v>
      </c>
      <c r="F16" s="134">
        <v>90.25</v>
      </c>
      <c r="G16" s="134">
        <v>90.25</v>
      </c>
      <c r="H16" s="134">
        <v>90.25</v>
      </c>
      <c r="I16" s="134">
        <v>91.06</v>
      </c>
      <c r="J16" s="134">
        <v>91.06</v>
      </c>
      <c r="K16" s="134">
        <v>91.06</v>
      </c>
      <c r="L16" s="134">
        <v>91.86</v>
      </c>
      <c r="M16" s="134">
        <v>91.86</v>
      </c>
      <c r="N16" s="134">
        <v>91.86</v>
      </c>
      <c r="O16" s="134">
        <v>92.65</v>
      </c>
      <c r="P16" s="134">
        <v>92.65</v>
      </c>
      <c r="Q16" s="134">
        <v>92.65</v>
      </c>
    </row>
  </sheetData>
  <sheetProtection/>
  <mergeCells count="5">
    <mergeCell ref="O5:Q5"/>
    <mergeCell ref="C5:E5"/>
    <mergeCell ref="F5:H5"/>
    <mergeCell ref="I5:K5"/>
    <mergeCell ref="L5:N5"/>
  </mergeCells>
  <printOptions/>
  <pageMargins left="0.28" right="0.16" top="0.7480314960629921" bottom="0.7480314960629921" header="0.31496062992125984" footer="0.31496062992125984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L27"/>
  <sheetViews>
    <sheetView zoomScalePageLayoutView="0" workbookViewId="0" topLeftCell="A10">
      <selection activeCell="A28" sqref="A28"/>
    </sheetView>
  </sheetViews>
  <sheetFormatPr defaultColWidth="9.140625" defaultRowHeight="12.75"/>
  <cols>
    <col min="1" max="1" width="23.421875" style="0" bestFit="1" customWidth="1"/>
    <col min="2" max="2" width="9.8515625" style="0" bestFit="1" customWidth="1"/>
  </cols>
  <sheetData>
    <row r="2" spans="2:12" ht="27.75" customHeight="1">
      <c r="B2" t="s">
        <v>297</v>
      </c>
      <c r="C2" s="855">
        <v>2011</v>
      </c>
      <c r="D2" s="855"/>
      <c r="E2" s="855">
        <v>2012</v>
      </c>
      <c r="F2" s="855"/>
      <c r="G2" s="855">
        <v>2013</v>
      </c>
      <c r="H2" s="855"/>
      <c r="I2" s="855">
        <v>2014</v>
      </c>
      <c r="J2" s="855"/>
      <c r="K2" s="855">
        <v>2015</v>
      </c>
      <c r="L2" s="855"/>
    </row>
    <row r="3" spans="3:12" ht="27.75" customHeight="1">
      <c r="C3" t="s">
        <v>281</v>
      </c>
      <c r="D3" t="s">
        <v>282</v>
      </c>
      <c r="E3" t="s">
        <v>281</v>
      </c>
      <c r="F3" t="s">
        <v>282</v>
      </c>
      <c r="G3" t="s">
        <v>281</v>
      </c>
      <c r="H3" t="s">
        <v>282</v>
      </c>
      <c r="I3" t="s">
        <v>281</v>
      </c>
      <c r="J3" t="s">
        <v>282</v>
      </c>
      <c r="K3" t="s">
        <v>281</v>
      </c>
      <c r="L3" t="s">
        <v>282</v>
      </c>
    </row>
    <row r="4" spans="1:12" ht="27.75" customHeight="1">
      <c r="A4" t="s">
        <v>287</v>
      </c>
      <c r="B4" t="s">
        <v>298</v>
      </c>
      <c r="C4" t="e">
        <f>C5+C7</f>
        <v>#REF!</v>
      </c>
      <c r="D4" t="e">
        <f>D5+C7</f>
        <v>#REF!</v>
      </c>
      <c r="E4" t="e">
        <f>E5+E7</f>
        <v>#REF!</v>
      </c>
      <c r="F4" t="e">
        <f>F5+E7</f>
        <v>#REF!</v>
      </c>
      <c r="G4" t="e">
        <f>G5+G7</f>
        <v>#REF!</v>
      </c>
      <c r="H4" t="e">
        <f>H5+G7</f>
        <v>#REF!</v>
      </c>
      <c r="I4" t="e">
        <f>I5+I7</f>
        <v>#REF!</v>
      </c>
      <c r="J4" t="e">
        <f>J5+I7</f>
        <v>#REF!</v>
      </c>
      <c r="K4" t="e">
        <f>K5+K7</f>
        <v>#REF!</v>
      </c>
      <c r="L4" t="e">
        <f>L5+K7</f>
        <v>#REF!</v>
      </c>
    </row>
    <row r="5" spans="1:12" ht="27.75" customHeight="1">
      <c r="A5" t="s">
        <v>226</v>
      </c>
      <c r="B5" t="s">
        <v>298</v>
      </c>
      <c r="C5">
        <f>Sheet1!C7</f>
        <v>2264.22621</v>
      </c>
      <c r="D5">
        <f>Sheet1!D7</f>
        <v>2628.76662981</v>
      </c>
      <c r="E5">
        <f>Sheet1!F7</f>
        <v>2819.244614441726</v>
      </c>
      <c r="F5">
        <f>Sheet1!G7</f>
        <v>2845.6667757767</v>
      </c>
      <c r="G5">
        <f>Sheet1!I7</f>
        <v>3270.126749117488</v>
      </c>
      <c r="H5">
        <f>Sheet1!J7</f>
        <v>3300.717270624668</v>
      </c>
      <c r="I5">
        <f>Sheet1!L7</f>
        <v>3803.7301861483397</v>
      </c>
      <c r="J5">
        <f>Sheet1!M7</f>
        <v>3839.2127438549473</v>
      </c>
      <c r="K5">
        <f>Sheet1!O7</f>
        <v>4436.728370866908</v>
      </c>
      <c r="L5">
        <f>Sheet1!P7</f>
        <v>4478.000262688925</v>
      </c>
    </row>
    <row r="6" spans="1:11" ht="27.75" customHeight="1">
      <c r="A6" t="s">
        <v>288</v>
      </c>
      <c r="B6" t="s">
        <v>299</v>
      </c>
      <c r="C6" t="e">
        <f>#REF!</f>
        <v>#REF!</v>
      </c>
      <c r="E6" t="e">
        <f>#REF!</f>
        <v>#REF!</v>
      </c>
      <c r="G6" t="e">
        <f>#REF!</f>
        <v>#REF!</v>
      </c>
      <c r="I6" t="e">
        <f>#REF!</f>
        <v>#REF!</v>
      </c>
      <c r="K6" t="e">
        <f>#REF!</f>
        <v>#REF!</v>
      </c>
    </row>
    <row r="7" spans="1:11" ht="27.75" customHeight="1">
      <c r="A7" t="s">
        <v>289</v>
      </c>
      <c r="B7" t="s">
        <v>298</v>
      </c>
      <c r="C7" t="e">
        <f>C6*C17*0.9</f>
        <v>#REF!</v>
      </c>
      <c r="E7" t="e">
        <f>E6*E17*0.9</f>
        <v>#REF!</v>
      </c>
      <c r="G7" t="e">
        <f>G6*G17*0.9</f>
        <v>#REF!</v>
      </c>
      <c r="I7" t="e">
        <f>I6*I17*0.9</f>
        <v>#REF!</v>
      </c>
      <c r="K7" t="e">
        <f>K6*K17*0.9</f>
        <v>#REF!</v>
      </c>
    </row>
    <row r="8" ht="27.75" customHeight="1"/>
    <row r="9" ht="27.75" customHeight="1">
      <c r="A9" t="s">
        <v>290</v>
      </c>
    </row>
    <row r="10" ht="27.75" customHeight="1">
      <c r="A10" t="s">
        <v>291</v>
      </c>
    </row>
    <row r="11" ht="27.75" customHeight="1">
      <c r="A11" t="s">
        <v>292</v>
      </c>
    </row>
    <row r="12" ht="27.75" customHeight="1">
      <c r="A12" t="s">
        <v>293</v>
      </c>
    </row>
    <row r="13" spans="1:11" ht="27.75" customHeight="1">
      <c r="A13" t="s">
        <v>294</v>
      </c>
      <c r="C13" t="e">
        <f>#REF!</f>
        <v>#REF!</v>
      </c>
      <c r="E13" t="e">
        <f>#REF!</f>
        <v>#REF!</v>
      </c>
      <c r="G13" t="e">
        <f>#REF!</f>
        <v>#REF!</v>
      </c>
      <c r="I13" t="e">
        <f>#REF!</f>
        <v>#REF!</v>
      </c>
      <c r="K13" t="e">
        <f>#REF!</f>
        <v>#REF!</v>
      </c>
    </row>
    <row r="14" ht="27.75" customHeight="1">
      <c r="A14" t="s">
        <v>295</v>
      </c>
    </row>
    <row r="15" ht="27.75" customHeight="1">
      <c r="A15" t="s">
        <v>296</v>
      </c>
    </row>
    <row r="16" ht="27.75" customHeight="1"/>
    <row r="17" spans="1:12" ht="27.75" customHeight="1">
      <c r="A17" t="s">
        <v>284</v>
      </c>
      <c r="B17" t="s">
        <v>300</v>
      </c>
      <c r="C17">
        <f>Sheet1!C15</f>
        <v>18.6</v>
      </c>
      <c r="D17">
        <f>Sheet1!D15</f>
        <v>18.6</v>
      </c>
      <c r="E17">
        <f>Sheet1!F15</f>
        <v>19.1</v>
      </c>
      <c r="F17">
        <f>Sheet1!G15</f>
        <v>19.1</v>
      </c>
      <c r="G17">
        <f>Sheet1!I15</f>
        <v>19.6</v>
      </c>
      <c r="H17">
        <f>Sheet1!J15</f>
        <v>19.6</v>
      </c>
      <c r="I17">
        <f>Sheet1!L15</f>
        <v>20.3</v>
      </c>
      <c r="J17">
        <f>Sheet1!M15</f>
        <v>20.3</v>
      </c>
      <c r="K17">
        <f>Sheet1!O15</f>
        <v>20.9</v>
      </c>
      <c r="L17">
        <f>Sheet1!P15</f>
        <v>20.9</v>
      </c>
    </row>
    <row r="19" spans="1:3" ht="18.75" customHeight="1">
      <c r="A19" t="s">
        <v>301</v>
      </c>
      <c r="C19">
        <v>100</v>
      </c>
    </row>
    <row r="20" ht="18.75" customHeight="1">
      <c r="A20" t="s">
        <v>302</v>
      </c>
    </row>
    <row r="21" spans="1:12" ht="18.75" customHeight="1">
      <c r="A21" t="s">
        <v>303</v>
      </c>
      <c r="C21">
        <v>63.2</v>
      </c>
      <c r="D21">
        <v>63.4</v>
      </c>
      <c r="E21">
        <v>63.1</v>
      </c>
      <c r="F21">
        <v>63.3</v>
      </c>
      <c r="G21">
        <v>63</v>
      </c>
      <c r="H21">
        <v>63.2</v>
      </c>
      <c r="I21">
        <v>62.9</v>
      </c>
      <c r="J21">
        <v>63.1</v>
      </c>
      <c r="K21">
        <v>62.7</v>
      </c>
      <c r="L21">
        <v>62.9</v>
      </c>
    </row>
    <row r="22" spans="1:12" ht="18.75" customHeight="1">
      <c r="A22" t="s">
        <v>304</v>
      </c>
      <c r="C22">
        <v>36.8</v>
      </c>
      <c r="D22">
        <v>36.6</v>
      </c>
      <c r="E22">
        <v>36.9</v>
      </c>
      <c r="F22">
        <v>36.7</v>
      </c>
      <c r="G22">
        <v>37</v>
      </c>
      <c r="H22">
        <v>36.8</v>
      </c>
      <c r="I22">
        <v>37.1</v>
      </c>
      <c r="J22">
        <v>36.9</v>
      </c>
      <c r="K22">
        <v>37.3</v>
      </c>
      <c r="L22">
        <v>37.1</v>
      </c>
    </row>
    <row r="23" ht="18.75" customHeight="1"/>
    <row r="24" ht="18.75" customHeight="1">
      <c r="A24" t="s">
        <v>153</v>
      </c>
    </row>
    <row r="25" ht="18.75" customHeight="1">
      <c r="A25" t="s">
        <v>305</v>
      </c>
    </row>
    <row r="26" ht="18.75" customHeight="1">
      <c r="A26" t="s">
        <v>306</v>
      </c>
    </row>
    <row r="27" ht="18.75" customHeight="1">
      <c r="A27" t="s">
        <v>307</v>
      </c>
    </row>
  </sheetData>
  <sheetProtection/>
  <mergeCells count="5">
    <mergeCell ref="K2:L2"/>
    <mergeCell ref="C2:D2"/>
    <mergeCell ref="E2:F2"/>
    <mergeCell ref="G2:H2"/>
    <mergeCell ref="I2:J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X138"/>
  <sheetViews>
    <sheetView tabSelected="1" view="pageBreakPreview" zoomScale="85" zoomScaleNormal="85" zoomScaleSheetLayoutView="85" workbookViewId="0" topLeftCell="A1">
      <selection activeCell="O39" sqref="O39"/>
    </sheetView>
  </sheetViews>
  <sheetFormatPr defaultColWidth="9.140625" defaultRowHeight="12.75"/>
  <cols>
    <col min="1" max="1" width="6.8515625" style="368" customWidth="1"/>
    <col min="2" max="2" width="54.00390625" style="365" customWidth="1"/>
    <col min="3" max="3" width="14.421875" style="366" customWidth="1"/>
    <col min="4" max="4" width="10.421875" style="366" hidden="1" customWidth="1"/>
    <col min="5" max="5" width="13.28125" style="364" hidden="1" customWidth="1"/>
    <col min="6" max="6" width="11.57421875" style="364" hidden="1" customWidth="1"/>
    <col min="7" max="7" width="10.7109375" style="364" hidden="1" customWidth="1"/>
    <col min="8" max="8" width="0.13671875" style="713" hidden="1" customWidth="1"/>
    <col min="9" max="9" width="15.421875" style="364" customWidth="1"/>
    <col min="10" max="10" width="5.57421875" style="363" hidden="1" customWidth="1"/>
    <col min="11" max="11" width="0.13671875" style="364" hidden="1" customWidth="1"/>
    <col min="12" max="12" width="6.00390625" style="364" hidden="1" customWidth="1"/>
    <col min="13" max="13" width="8.7109375" style="364" hidden="1" customWidth="1"/>
    <col min="14" max="14" width="8.421875" style="364" hidden="1" customWidth="1"/>
    <col min="15" max="15" width="14.421875" style="401" customWidth="1"/>
    <col min="16" max="16" width="12.421875" style="363" hidden="1" customWidth="1"/>
    <col min="17" max="17" width="16.57421875" style="364" customWidth="1"/>
    <col min="18" max="18" width="9.8515625" style="364" hidden="1" customWidth="1"/>
    <col min="19" max="21" width="13.00390625" style="364" customWidth="1"/>
    <col min="22" max="22" width="9.8515625" style="364" customWidth="1"/>
    <col min="23" max="23" width="22.28125" style="364" customWidth="1"/>
    <col min="24" max="16384" width="9.140625" style="364" customWidth="1"/>
  </cols>
  <sheetData>
    <row r="1" spans="1:16" ht="27.75" customHeight="1">
      <c r="A1" s="532" t="s">
        <v>463</v>
      </c>
      <c r="B1" s="532"/>
      <c r="C1" s="532"/>
      <c r="D1" s="532"/>
      <c r="E1" s="532"/>
      <c r="F1" s="532"/>
      <c r="G1" s="532"/>
      <c r="H1" s="532"/>
      <c r="I1" s="532"/>
      <c r="J1" s="532"/>
      <c r="K1" s="532"/>
      <c r="L1" s="532"/>
      <c r="M1" s="532"/>
      <c r="N1" s="532"/>
      <c r="O1" s="529"/>
      <c r="P1" s="532"/>
    </row>
    <row r="2" spans="1:18" ht="35.25" customHeight="1">
      <c r="A2" s="810" t="s">
        <v>493</v>
      </c>
      <c r="B2" s="810"/>
      <c r="C2" s="810"/>
      <c r="D2" s="810"/>
      <c r="E2" s="810"/>
      <c r="F2" s="810"/>
      <c r="G2" s="810"/>
      <c r="H2" s="810"/>
      <c r="I2" s="810"/>
      <c r="J2" s="810"/>
      <c r="K2" s="810"/>
      <c r="L2" s="810"/>
      <c r="M2" s="810"/>
      <c r="N2" s="810"/>
      <c r="O2" s="810"/>
      <c r="P2" s="810"/>
      <c r="Q2" s="810"/>
      <c r="R2" s="420"/>
    </row>
    <row r="3" spans="1:18" s="367" customFormat="1" ht="54.75" customHeight="1">
      <c r="A3" s="405" t="s">
        <v>115</v>
      </c>
      <c r="B3" s="405" t="s">
        <v>399</v>
      </c>
      <c r="C3" s="405" t="s">
        <v>297</v>
      </c>
      <c r="D3" s="405" t="s">
        <v>0</v>
      </c>
      <c r="E3" s="405" t="s">
        <v>400</v>
      </c>
      <c r="F3" s="405" t="s">
        <v>401</v>
      </c>
      <c r="G3" s="405" t="s">
        <v>402</v>
      </c>
      <c r="H3" s="729" t="s">
        <v>461</v>
      </c>
      <c r="I3" s="405" t="s">
        <v>403</v>
      </c>
      <c r="J3" s="405" t="s">
        <v>427</v>
      </c>
      <c r="K3" s="405" t="s">
        <v>421</v>
      </c>
      <c r="L3" s="405" t="s">
        <v>422</v>
      </c>
      <c r="M3" s="405" t="s">
        <v>423</v>
      </c>
      <c r="N3" s="405" t="s">
        <v>424</v>
      </c>
      <c r="O3" s="405" t="s">
        <v>425</v>
      </c>
      <c r="P3" s="405" t="s">
        <v>426</v>
      </c>
      <c r="Q3" s="744" t="s">
        <v>494</v>
      </c>
      <c r="R3" s="734" t="s">
        <v>489</v>
      </c>
    </row>
    <row r="4" spans="1:17" s="367" customFormat="1" ht="15.75">
      <c r="A4" s="388" t="s">
        <v>214</v>
      </c>
      <c r="B4" s="389" t="s">
        <v>114</v>
      </c>
      <c r="C4" s="388"/>
      <c r="D4" s="388"/>
      <c r="E4" s="388"/>
      <c r="F4" s="388"/>
      <c r="G4" s="388"/>
      <c r="H4" s="679"/>
      <c r="I4" s="747"/>
      <c r="J4" s="745"/>
      <c r="K4" s="745"/>
      <c r="L4" s="745"/>
      <c r="M4" s="745"/>
      <c r="N4" s="745"/>
      <c r="O4" s="416"/>
      <c r="P4" s="745"/>
      <c r="Q4" s="745"/>
    </row>
    <row r="5" spans="1:18" s="367" customFormat="1" ht="15.75">
      <c r="A5" s="379">
        <v>1</v>
      </c>
      <c r="B5" s="406" t="s">
        <v>113</v>
      </c>
      <c r="C5" s="379"/>
      <c r="D5" s="379"/>
      <c r="E5" s="379"/>
      <c r="F5" s="379"/>
      <c r="G5" s="379"/>
      <c r="H5" s="680"/>
      <c r="I5" s="748"/>
      <c r="J5" s="746"/>
      <c r="K5" s="746"/>
      <c r="L5" s="749"/>
      <c r="M5" s="746"/>
      <c r="N5" s="746"/>
      <c r="O5" s="445"/>
      <c r="P5" s="749"/>
      <c r="Q5" s="746"/>
      <c r="R5" s="735"/>
    </row>
    <row r="6" spans="1:21" ht="22.5" customHeight="1">
      <c r="A6" s="369">
        <v>1.1</v>
      </c>
      <c r="B6" s="370" t="s">
        <v>428</v>
      </c>
      <c r="C6" s="50" t="s">
        <v>120</v>
      </c>
      <c r="D6" s="697"/>
      <c r="E6" s="681">
        <f>(E7/D7)*100-100</f>
        <v>3.7225249810564804</v>
      </c>
      <c r="F6" s="681">
        <f>(F7/E7)*100-100</f>
        <v>2.7255146711982405</v>
      </c>
      <c r="G6" s="681">
        <f>(G7/F7)*100-100</f>
        <v>0.19328437049419733</v>
      </c>
      <c r="H6" s="681">
        <f>(H7/G7)*100-100</f>
        <v>6.471211528739147</v>
      </c>
      <c r="I6" s="442">
        <v>4.22</v>
      </c>
      <c r="J6" s="677">
        <f>(E6+F6+G6+H6+I6)/5</f>
        <v>3.466507110297613</v>
      </c>
      <c r="K6" s="66">
        <f>(K7/I7)*100-100</f>
        <v>3.6706136935314078</v>
      </c>
      <c r="L6" s="66">
        <f>(L7/K7*100-100)</f>
        <v>3.736123762783919</v>
      </c>
      <c r="M6" s="66">
        <f>(M7/L7)*100-100</f>
        <v>3.803604586835732</v>
      </c>
      <c r="N6" s="66">
        <f>(N7/M7)*100-100</f>
        <v>3.8730763048225896</v>
      </c>
      <c r="O6" s="442">
        <f>(O7/N7)*100-100</f>
        <v>3.944605060083248</v>
      </c>
      <c r="P6" s="736">
        <v>3.81</v>
      </c>
      <c r="Q6" s="736">
        <f>(O7/K7)^0.25*100-100</f>
        <v>3.8393233583505832</v>
      </c>
      <c r="R6" s="737">
        <f>((O7/I7)^0.2-1)*100</f>
        <v>3.8055594755294075</v>
      </c>
      <c r="T6" s="420"/>
      <c r="U6" s="420"/>
    </row>
    <row r="7" spans="1:24" ht="33" customHeight="1">
      <c r="A7" s="50">
        <v>1.2</v>
      </c>
      <c r="B7" s="376" t="s">
        <v>2</v>
      </c>
      <c r="C7" s="50" t="s">
        <v>405</v>
      </c>
      <c r="D7" s="478">
        <f aca="true" t="shared" si="0" ref="D7:O7">D8+D12+D13</f>
        <v>5430.615</v>
      </c>
      <c r="E7" s="478">
        <f t="shared" si="0"/>
        <v>5632.771</v>
      </c>
      <c r="F7" s="478">
        <f t="shared" si="0"/>
        <v>5786.293</v>
      </c>
      <c r="G7" s="478">
        <f t="shared" si="0"/>
        <v>5797.477</v>
      </c>
      <c r="H7" s="478">
        <f t="shared" si="0"/>
        <v>6172.644</v>
      </c>
      <c r="I7" s="498">
        <f>I8+I12+I13</f>
        <v>6430.832</v>
      </c>
      <c r="J7" s="498">
        <f>J8+J12+J13</f>
        <v>5964.003400000001</v>
      </c>
      <c r="K7" s="498">
        <f t="shared" si="0"/>
        <v>6666.883</v>
      </c>
      <c r="L7" s="498">
        <f t="shared" si="0"/>
        <v>6915.966</v>
      </c>
      <c r="M7" s="498">
        <f t="shared" si="0"/>
        <v>7179.022</v>
      </c>
      <c r="N7" s="498">
        <f t="shared" si="0"/>
        <v>7457.071</v>
      </c>
      <c r="O7" s="407">
        <f t="shared" si="0"/>
        <v>7751.223</v>
      </c>
      <c r="P7" s="497">
        <f aca="true" t="shared" si="1" ref="P7:P13">SUM(K7:O7)/5</f>
        <v>7194.033</v>
      </c>
      <c r="Q7" s="736"/>
      <c r="R7" s="730">
        <v>15</v>
      </c>
      <c r="S7" s="731"/>
      <c r="T7" s="731"/>
      <c r="U7" s="731"/>
      <c r="V7" s="731"/>
      <c r="W7" s="731"/>
      <c r="X7" s="731"/>
    </row>
    <row r="8" spans="1:24" ht="22.5" customHeight="1">
      <c r="A8" s="50"/>
      <c r="B8" s="384" t="s">
        <v>3</v>
      </c>
      <c r="C8" s="50" t="s">
        <v>405</v>
      </c>
      <c r="D8" s="499">
        <f>D9+D10+D11</f>
        <v>3732.5029999999997</v>
      </c>
      <c r="E8" s="499">
        <f>E9+E10+E11</f>
        <v>3838.672</v>
      </c>
      <c r="F8" s="499">
        <f>F9+F10+F11</f>
        <v>3891.275</v>
      </c>
      <c r="G8" s="499">
        <f>G9+G10+G11</f>
        <v>3823.136</v>
      </c>
      <c r="H8" s="499">
        <f aca="true" t="shared" si="2" ref="H8:O8">H9+H10+H11</f>
        <v>3951.123</v>
      </c>
      <c r="I8" s="499">
        <f t="shared" si="2"/>
        <v>4070.098</v>
      </c>
      <c r="J8" s="499">
        <f t="shared" si="2"/>
        <v>3914.8608000000004</v>
      </c>
      <c r="K8" s="499">
        <f t="shared" si="2"/>
        <v>4149.527999999999</v>
      </c>
      <c r="L8" s="499">
        <f t="shared" si="2"/>
        <v>4230.517</v>
      </c>
      <c r="M8" s="499">
        <f t="shared" si="2"/>
        <v>4313.095</v>
      </c>
      <c r="N8" s="499">
        <f t="shared" si="2"/>
        <v>4397.293</v>
      </c>
      <c r="O8" s="782">
        <f t="shared" si="2"/>
        <v>4483.1449999999995</v>
      </c>
      <c r="P8" s="497">
        <f t="shared" si="1"/>
        <v>4314.7155999999995</v>
      </c>
      <c r="Q8" s="736">
        <f>(O8/K8)^0.25*100-100</f>
        <v>1.9520637972473338</v>
      </c>
      <c r="R8" s="730">
        <f>I8/I7*100</f>
        <v>63.29037984509625</v>
      </c>
      <c r="S8" s="730"/>
      <c r="T8" s="730"/>
      <c r="U8" s="730"/>
      <c r="V8" s="730"/>
      <c r="W8" s="730"/>
      <c r="X8" s="731"/>
    </row>
    <row r="9" spans="1:24" s="375" customFormat="1" ht="22.5" customHeight="1">
      <c r="A9" s="381"/>
      <c r="B9" s="715" t="s">
        <v>487</v>
      </c>
      <c r="C9" s="381" t="s">
        <v>405</v>
      </c>
      <c r="D9" s="716">
        <v>2615.962</v>
      </c>
      <c r="E9" s="518">
        <v>2729.079</v>
      </c>
      <c r="F9" s="518">
        <v>2770.481</v>
      </c>
      <c r="G9" s="518">
        <v>2725.83</v>
      </c>
      <c r="H9" s="519">
        <v>2813.574</v>
      </c>
      <c r="I9" s="750">
        <v>2884.678</v>
      </c>
      <c r="J9" s="751">
        <f>(E9+F9+I9+H9+G9)/5</f>
        <v>2784.7284000000004</v>
      </c>
      <c r="K9" s="750">
        <v>2941.647</v>
      </c>
      <c r="L9" s="750">
        <v>2999.741</v>
      </c>
      <c r="M9" s="750">
        <v>3058.982</v>
      </c>
      <c r="N9" s="750">
        <v>3119.393</v>
      </c>
      <c r="O9" s="783">
        <v>3180.997</v>
      </c>
      <c r="P9" s="676">
        <f t="shared" si="1"/>
        <v>3060.1519999999996</v>
      </c>
      <c r="Q9" s="736">
        <f aca="true" t="shared" si="3" ref="Q9:Q79">(O9/K9)^0.25*100-100</f>
        <v>1.9748736588732498</v>
      </c>
      <c r="R9" s="733">
        <f>I9/I8*100</f>
        <v>70.87490276646902</v>
      </c>
      <c r="S9" s="733"/>
      <c r="T9" s="733"/>
      <c r="U9" s="733"/>
      <c r="V9" s="733"/>
      <c r="W9" s="733"/>
      <c r="X9" s="732"/>
    </row>
    <row r="10" spans="1:24" s="375" customFormat="1" ht="22.5" customHeight="1">
      <c r="A10" s="381"/>
      <c r="B10" s="715" t="s">
        <v>488</v>
      </c>
      <c r="C10" s="381" t="s">
        <v>405</v>
      </c>
      <c r="D10" s="716">
        <v>887.283</v>
      </c>
      <c r="E10" s="518">
        <v>889.52</v>
      </c>
      <c r="F10" s="518">
        <v>900.127</v>
      </c>
      <c r="G10" s="518">
        <v>869.728</v>
      </c>
      <c r="H10" s="519">
        <v>930.77</v>
      </c>
      <c r="I10" s="750">
        <v>968.775</v>
      </c>
      <c r="J10" s="751">
        <f>(E10+F10+I10+H10+G10)/5</f>
        <v>911.784</v>
      </c>
      <c r="K10" s="750">
        <v>985.95</v>
      </c>
      <c r="L10" s="750">
        <v>1003.43</v>
      </c>
      <c r="M10" s="750">
        <v>1021.22</v>
      </c>
      <c r="N10" s="750">
        <v>1039.325</v>
      </c>
      <c r="O10" s="783">
        <v>1057.752</v>
      </c>
      <c r="P10" s="676">
        <f t="shared" si="1"/>
        <v>1021.5354</v>
      </c>
      <c r="Q10" s="736">
        <f>(O10/K10)^0.25*100-100</f>
        <v>1.7729213539423796</v>
      </c>
      <c r="R10" s="733">
        <f>I10/I8*100</f>
        <v>23.80225242733713</v>
      </c>
      <c r="S10" s="733"/>
      <c r="T10" s="733"/>
      <c r="U10" s="733"/>
      <c r="V10" s="733"/>
      <c r="W10" s="733"/>
      <c r="X10" s="732"/>
    </row>
    <row r="11" spans="1:24" ht="15.75">
      <c r="A11" s="50"/>
      <c r="B11" s="715" t="s">
        <v>492</v>
      </c>
      <c r="C11" s="50" t="s">
        <v>405</v>
      </c>
      <c r="D11" s="443">
        <v>229.258</v>
      </c>
      <c r="E11" s="414">
        <v>220.073</v>
      </c>
      <c r="F11" s="414">
        <v>220.667</v>
      </c>
      <c r="G11" s="414">
        <v>227.578</v>
      </c>
      <c r="H11" s="738">
        <v>206.779</v>
      </c>
      <c r="I11" s="499">
        <v>216.645</v>
      </c>
      <c r="J11" s="748">
        <f>(E11+F11+I11+H11+G11)/5</f>
        <v>218.3484</v>
      </c>
      <c r="K11" s="499">
        <v>221.931</v>
      </c>
      <c r="L11" s="499">
        <v>227.346</v>
      </c>
      <c r="M11" s="499">
        <v>232.893</v>
      </c>
      <c r="N11" s="499">
        <v>238.575</v>
      </c>
      <c r="O11" s="782">
        <v>244.396</v>
      </c>
      <c r="P11" s="497"/>
      <c r="Q11" s="736">
        <f t="shared" si="3"/>
        <v>2.439872883017486</v>
      </c>
      <c r="R11" s="733">
        <f>I11/I8*100</f>
        <v>5.3228448061938565</v>
      </c>
      <c r="S11" s="733"/>
      <c r="T11" s="733"/>
      <c r="U11" s="733"/>
      <c r="V11" s="733"/>
      <c r="W11" s="733"/>
      <c r="X11" s="731"/>
    </row>
    <row r="12" spans="1:24" ht="22.5" customHeight="1">
      <c r="A12" s="50" t="s">
        <v>458</v>
      </c>
      <c r="B12" s="384" t="s">
        <v>4</v>
      </c>
      <c r="C12" s="50" t="s">
        <v>405</v>
      </c>
      <c r="D12" s="717">
        <v>269.353</v>
      </c>
      <c r="E12" s="717">
        <v>282.71</v>
      </c>
      <c r="F12" s="717">
        <v>289.278</v>
      </c>
      <c r="G12" s="717">
        <v>299.301</v>
      </c>
      <c r="H12" s="738">
        <v>385.388</v>
      </c>
      <c r="I12" s="499">
        <v>421.676</v>
      </c>
      <c r="J12" s="748">
        <f>(E12+F12+I12+H12+G12)/5</f>
        <v>335.6706</v>
      </c>
      <c r="K12" s="499">
        <v>449.438</v>
      </c>
      <c r="L12" s="499">
        <v>479.028</v>
      </c>
      <c r="M12" s="499">
        <v>510.566</v>
      </c>
      <c r="N12" s="499">
        <v>544.18</v>
      </c>
      <c r="O12" s="782">
        <v>580.008</v>
      </c>
      <c r="P12" s="497">
        <f t="shared" si="1"/>
        <v>512.644</v>
      </c>
      <c r="Q12" s="736">
        <f t="shared" si="3"/>
        <v>6.5837628643381265</v>
      </c>
      <c r="R12" s="730">
        <f>I12/I7*100</f>
        <v>6.557098677122959</v>
      </c>
      <c r="S12" s="730"/>
      <c r="T12" s="730"/>
      <c r="U12" s="730"/>
      <c r="V12" s="730"/>
      <c r="W12" s="730"/>
      <c r="X12" s="731"/>
    </row>
    <row r="13" spans="1:24" ht="15.75">
      <c r="A13" s="50"/>
      <c r="B13" s="384" t="s">
        <v>5</v>
      </c>
      <c r="C13" s="50" t="s">
        <v>405</v>
      </c>
      <c r="D13" s="714">
        <v>1428.759</v>
      </c>
      <c r="E13" s="714">
        <v>1511.389</v>
      </c>
      <c r="F13" s="714">
        <v>1605.74</v>
      </c>
      <c r="G13" s="714">
        <v>1675.04</v>
      </c>
      <c r="H13" s="738">
        <v>1836.133</v>
      </c>
      <c r="I13" s="499">
        <v>1939.058</v>
      </c>
      <c r="J13" s="748">
        <f>(E13+F13+I13+H13+G13)/5</f>
        <v>1713.4720000000002</v>
      </c>
      <c r="K13" s="499">
        <v>2067.917</v>
      </c>
      <c r="L13" s="499">
        <v>2206.421</v>
      </c>
      <c r="M13" s="499">
        <v>2355.361</v>
      </c>
      <c r="N13" s="499">
        <v>2515.598</v>
      </c>
      <c r="O13" s="782">
        <v>2688.07</v>
      </c>
      <c r="P13" s="497">
        <f t="shared" si="1"/>
        <v>2366.6733999999997</v>
      </c>
      <c r="Q13" s="736">
        <f t="shared" si="3"/>
        <v>6.776791715188949</v>
      </c>
      <c r="R13" s="730">
        <f>I13/I7*100</f>
        <v>30.15252147778079</v>
      </c>
      <c r="S13" s="730"/>
      <c r="T13" s="730"/>
      <c r="U13" s="730"/>
      <c r="V13" s="730"/>
      <c r="W13" s="730"/>
      <c r="X13" s="731"/>
    </row>
    <row r="14" spans="1:17" ht="31.5">
      <c r="A14" s="369">
        <v>1.3</v>
      </c>
      <c r="B14" s="372" t="s">
        <v>430</v>
      </c>
      <c r="C14" s="50" t="s">
        <v>459</v>
      </c>
      <c r="D14" s="394">
        <v>204.008</v>
      </c>
      <c r="E14" s="395">
        <v>198.421</v>
      </c>
      <c r="F14" s="395">
        <v>198.368</v>
      </c>
      <c r="G14" s="395">
        <v>195.219</v>
      </c>
      <c r="H14" s="395">
        <f>G14*0.986</f>
        <v>192.485934</v>
      </c>
      <c r="I14" s="752">
        <f>H14*1.039</f>
        <v>199.99288542599996</v>
      </c>
      <c r="J14" s="753">
        <f>(I14+H14+G14+F14+E14)/5</f>
        <v>196.8973638852</v>
      </c>
      <c r="K14" s="752">
        <f>I14*0.986</f>
        <v>197.19298503003597</v>
      </c>
      <c r="L14" s="752">
        <f>K14*0.986</f>
        <v>194.43228323961546</v>
      </c>
      <c r="M14" s="752">
        <f>L14*0.986</f>
        <v>191.71023127426085</v>
      </c>
      <c r="N14" s="752">
        <f>M14*0.986</f>
        <v>189.0262880364212</v>
      </c>
      <c r="O14" s="674">
        <f>N14*0.986</f>
        <v>186.37992000391128</v>
      </c>
      <c r="P14" s="441">
        <f>SUM(K14:O14)/5</f>
        <v>191.74834151684894</v>
      </c>
      <c r="Q14" s="736">
        <f t="shared" si="3"/>
        <v>-1.4000000000000057</v>
      </c>
    </row>
    <row r="15" spans="1:17" ht="32.25" customHeight="1">
      <c r="A15" s="369">
        <v>1.4</v>
      </c>
      <c r="B15" s="372" t="s">
        <v>431</v>
      </c>
      <c r="C15" s="50" t="s">
        <v>411</v>
      </c>
      <c r="D15" s="393">
        <v>26620</v>
      </c>
      <c r="E15" s="390">
        <v>28388</v>
      </c>
      <c r="F15" s="390">
        <v>29324</v>
      </c>
      <c r="G15" s="390">
        <v>29870</v>
      </c>
      <c r="H15" s="390">
        <f>G15*1.039</f>
        <v>31034.929999999997</v>
      </c>
      <c r="I15" s="754">
        <f>H15*1.039</f>
        <v>32245.292269999994</v>
      </c>
      <c r="J15" s="755">
        <f>(I15+H15+G15+F15+E15)/5</f>
        <v>30172.444454</v>
      </c>
      <c r="K15" s="754">
        <f>I15*1.039</f>
        <v>33502.85866852999</v>
      </c>
      <c r="L15" s="754">
        <f>K15*1.039</f>
        <v>34809.470156602656</v>
      </c>
      <c r="M15" s="754">
        <f>L15*1.039</f>
        <v>36167.03949271016</v>
      </c>
      <c r="N15" s="754">
        <f>M15*1.039</f>
        <v>37577.55403292585</v>
      </c>
      <c r="O15" s="424">
        <f>N15*1.039</f>
        <v>39043.078640209955</v>
      </c>
      <c r="P15" s="397">
        <f>(K15+L15+M15+N15+O15)/5</f>
        <v>36220.00019819572</v>
      </c>
      <c r="Q15" s="736">
        <f t="shared" si="3"/>
        <v>3.8999999999999915</v>
      </c>
    </row>
    <row r="16" spans="1:17" ht="19.5" customHeight="1">
      <c r="A16" s="379">
        <v>2</v>
      </c>
      <c r="B16" s="380" t="s">
        <v>432</v>
      </c>
      <c r="C16" s="50"/>
      <c r="D16" s="50"/>
      <c r="E16" s="370"/>
      <c r="F16" s="370"/>
      <c r="G16" s="370"/>
      <c r="H16" s="682"/>
      <c r="I16" s="372"/>
      <c r="J16" s="746"/>
      <c r="K16" s="372"/>
      <c r="L16" s="372"/>
      <c r="M16" s="372"/>
      <c r="N16" s="372"/>
      <c r="O16" s="400"/>
      <c r="P16" s="396"/>
      <c r="Q16" s="736"/>
    </row>
    <row r="17" spans="1:17" s="401" customFormat="1" ht="18.75" customHeight="1">
      <c r="A17" s="400">
        <v>2.1</v>
      </c>
      <c r="B17" s="384" t="s">
        <v>7</v>
      </c>
      <c r="C17" s="50" t="s">
        <v>412</v>
      </c>
      <c r="D17" s="407">
        <v>79081</v>
      </c>
      <c r="E17" s="407">
        <v>79281</v>
      </c>
      <c r="F17" s="407">
        <v>79421</v>
      </c>
      <c r="G17" s="407">
        <v>78386</v>
      </c>
      <c r="H17" s="407">
        <v>77545</v>
      </c>
      <c r="I17" s="408">
        <v>78069</v>
      </c>
      <c r="J17" s="755">
        <f>(I17+H17+G17+F17+E17)/5</f>
        <v>78540.4</v>
      </c>
      <c r="K17" s="408">
        <f>SUM(K19:K23)</f>
        <v>78200</v>
      </c>
      <c r="L17" s="408">
        <f>SUM(L19:L23)</f>
        <v>77560</v>
      </c>
      <c r="M17" s="408">
        <f>SUM(M19:M23)</f>
        <v>77510</v>
      </c>
      <c r="N17" s="408">
        <f>SUM(N19:N23)</f>
        <v>77560</v>
      </c>
      <c r="O17" s="407">
        <f>SUM(O19:O23)</f>
        <v>77260</v>
      </c>
      <c r="P17" s="397">
        <f aca="true" t="shared" si="4" ref="P17:P24">(K17+L17+M17+N17+O17)/5</f>
        <v>77618</v>
      </c>
      <c r="Q17" s="736">
        <f t="shared" si="3"/>
        <v>-0.30187569408668935</v>
      </c>
    </row>
    <row r="18" spans="1:17" ht="15.75">
      <c r="A18" s="50"/>
      <c r="B18" s="376" t="s">
        <v>327</v>
      </c>
      <c r="C18" s="50"/>
      <c r="D18" s="65"/>
      <c r="E18" s="65"/>
      <c r="F18" s="65"/>
      <c r="G18" s="65"/>
      <c r="H18" s="727"/>
      <c r="I18" s="372"/>
      <c r="J18" s="755"/>
      <c r="K18" s="372"/>
      <c r="L18" s="372"/>
      <c r="M18" s="372"/>
      <c r="N18" s="372"/>
      <c r="O18" s="400"/>
      <c r="P18" s="390">
        <f t="shared" si="4"/>
        <v>0</v>
      </c>
      <c r="Q18" s="736"/>
    </row>
    <row r="19" spans="1:17" ht="15.75">
      <c r="A19" s="50"/>
      <c r="B19" s="384" t="s">
        <v>8</v>
      </c>
      <c r="C19" s="50" t="s">
        <v>412</v>
      </c>
      <c r="D19" s="373">
        <v>55350</v>
      </c>
      <c r="E19" s="373">
        <v>55110</v>
      </c>
      <c r="F19" s="373">
        <v>55492</v>
      </c>
      <c r="G19" s="373">
        <v>55285</v>
      </c>
      <c r="H19" s="373">
        <v>55312</v>
      </c>
      <c r="I19" s="408">
        <v>56073</v>
      </c>
      <c r="J19" s="755">
        <f aca="true" t="shared" si="5" ref="J19:J24">(I19+H19+G19+F19+E19)/5</f>
        <v>55454.4</v>
      </c>
      <c r="K19" s="754">
        <v>55700</v>
      </c>
      <c r="L19" s="754">
        <v>54860</v>
      </c>
      <c r="M19" s="754">
        <v>54660</v>
      </c>
      <c r="N19" s="754">
        <v>54460</v>
      </c>
      <c r="O19" s="424">
        <v>54010</v>
      </c>
      <c r="P19" s="397">
        <f t="shared" si="4"/>
        <v>54738</v>
      </c>
      <c r="Q19" s="736">
        <f t="shared" si="3"/>
        <v>-0.7673143057073446</v>
      </c>
    </row>
    <row r="20" spans="1:17" ht="15.75">
      <c r="A20" s="50"/>
      <c r="B20" s="384" t="s">
        <v>9</v>
      </c>
      <c r="C20" s="50" t="s">
        <v>412</v>
      </c>
      <c r="D20" s="373">
        <v>11343</v>
      </c>
      <c r="E20" s="373">
        <v>11916</v>
      </c>
      <c r="F20" s="373">
        <v>11865</v>
      </c>
      <c r="G20" s="373">
        <v>11701</v>
      </c>
      <c r="H20" s="373">
        <v>11088</v>
      </c>
      <c r="I20" s="408">
        <v>11056</v>
      </c>
      <c r="J20" s="755">
        <f t="shared" si="5"/>
        <v>11525.2</v>
      </c>
      <c r="K20" s="754">
        <v>11150</v>
      </c>
      <c r="L20" s="754">
        <v>11200</v>
      </c>
      <c r="M20" s="754">
        <v>11300</v>
      </c>
      <c r="N20" s="754">
        <v>11400</v>
      </c>
      <c r="O20" s="424">
        <v>11500</v>
      </c>
      <c r="P20" s="397">
        <f t="shared" si="4"/>
        <v>11310</v>
      </c>
      <c r="Q20" s="736">
        <f t="shared" si="3"/>
        <v>0.7756813774133491</v>
      </c>
    </row>
    <row r="21" spans="1:17" ht="15.75" customHeight="1">
      <c r="A21" s="50"/>
      <c r="B21" s="384" t="s">
        <v>10</v>
      </c>
      <c r="C21" s="50" t="s">
        <v>412</v>
      </c>
      <c r="D21" s="373">
        <v>4523</v>
      </c>
      <c r="E21" s="373">
        <v>4303</v>
      </c>
      <c r="F21" s="373">
        <v>4157</v>
      </c>
      <c r="G21" s="373">
        <v>3985</v>
      </c>
      <c r="H21" s="373">
        <v>3916</v>
      </c>
      <c r="I21" s="408">
        <v>4000</v>
      </c>
      <c r="J21" s="755">
        <f t="shared" si="5"/>
        <v>4072.2</v>
      </c>
      <c r="K21" s="754">
        <v>4050</v>
      </c>
      <c r="L21" s="754">
        <v>4100</v>
      </c>
      <c r="M21" s="754">
        <v>4150</v>
      </c>
      <c r="N21" s="754">
        <v>4200</v>
      </c>
      <c r="O21" s="424">
        <v>4250</v>
      </c>
      <c r="P21" s="397">
        <f t="shared" si="4"/>
        <v>4150</v>
      </c>
      <c r="Q21" s="736">
        <f t="shared" si="3"/>
        <v>1.2123425570270285</v>
      </c>
    </row>
    <row r="22" spans="1:17" ht="15.75">
      <c r="A22" s="50"/>
      <c r="B22" s="384" t="s">
        <v>11</v>
      </c>
      <c r="C22" s="50" t="s">
        <v>412</v>
      </c>
      <c r="D22" s="373">
        <v>6557</v>
      </c>
      <c r="E22" s="373">
        <v>6580</v>
      </c>
      <c r="F22" s="373">
        <v>6496</v>
      </c>
      <c r="G22" s="373">
        <v>6476</v>
      </c>
      <c r="H22" s="373">
        <v>6307</v>
      </c>
      <c r="I22" s="408">
        <v>6400</v>
      </c>
      <c r="J22" s="755">
        <f t="shared" si="5"/>
        <v>6451.8</v>
      </c>
      <c r="K22" s="754">
        <v>6400</v>
      </c>
      <c r="L22" s="754">
        <v>6450</v>
      </c>
      <c r="M22" s="754">
        <v>6450</v>
      </c>
      <c r="N22" s="754">
        <v>6500</v>
      </c>
      <c r="O22" s="424">
        <v>6500</v>
      </c>
      <c r="P22" s="397">
        <f t="shared" si="4"/>
        <v>6460</v>
      </c>
      <c r="Q22" s="736">
        <f t="shared" si="3"/>
        <v>0.38835682176090813</v>
      </c>
    </row>
    <row r="23" spans="1:17" ht="15.75">
      <c r="A23" s="50"/>
      <c r="B23" s="384" t="s">
        <v>12</v>
      </c>
      <c r="C23" s="50" t="s">
        <v>412</v>
      </c>
      <c r="D23" s="407">
        <v>1308</v>
      </c>
      <c r="E23" s="407">
        <v>1372</v>
      </c>
      <c r="F23" s="407">
        <v>1411</v>
      </c>
      <c r="G23" s="407">
        <v>939</v>
      </c>
      <c r="H23" s="373">
        <v>878</v>
      </c>
      <c r="I23" s="408">
        <v>900</v>
      </c>
      <c r="J23" s="755">
        <f t="shared" si="5"/>
        <v>1100</v>
      </c>
      <c r="K23" s="754">
        <v>900</v>
      </c>
      <c r="L23" s="754">
        <v>950</v>
      </c>
      <c r="M23" s="754">
        <v>950</v>
      </c>
      <c r="N23" s="754">
        <v>1000</v>
      </c>
      <c r="O23" s="424">
        <v>1000</v>
      </c>
      <c r="P23" s="397">
        <f t="shared" si="4"/>
        <v>960</v>
      </c>
      <c r="Q23" s="736">
        <f t="shared" si="3"/>
        <v>2.669009608034088</v>
      </c>
    </row>
    <row r="24" spans="1:19" ht="22.5" customHeight="1">
      <c r="A24" s="50">
        <v>2.2</v>
      </c>
      <c r="B24" s="376" t="s">
        <v>413</v>
      </c>
      <c r="C24" s="50" t="s">
        <v>435</v>
      </c>
      <c r="D24" s="373">
        <v>291171</v>
      </c>
      <c r="E24" s="373">
        <v>305315</v>
      </c>
      <c r="F24" s="373">
        <v>305943</v>
      </c>
      <c r="G24" s="373">
        <v>291298</v>
      </c>
      <c r="H24" s="373">
        <v>323238</v>
      </c>
      <c r="I24" s="408">
        <v>325680</v>
      </c>
      <c r="J24" s="755">
        <f t="shared" si="5"/>
        <v>310294.8</v>
      </c>
      <c r="K24" s="408">
        <v>320000</v>
      </c>
      <c r="L24" s="408">
        <v>325500</v>
      </c>
      <c r="M24" s="408">
        <v>326000</v>
      </c>
      <c r="N24" s="408">
        <v>328000</v>
      </c>
      <c r="O24" s="407">
        <v>320000</v>
      </c>
      <c r="P24" s="397">
        <f t="shared" si="4"/>
        <v>323900</v>
      </c>
      <c r="Q24" s="736">
        <f t="shared" si="3"/>
        <v>0</v>
      </c>
      <c r="S24" s="364" t="s">
        <v>491</v>
      </c>
    </row>
    <row r="25" spans="1:18" ht="18.75" customHeight="1">
      <c r="A25" s="50"/>
      <c r="B25" s="376" t="s">
        <v>453</v>
      </c>
      <c r="C25" s="50" t="s">
        <v>454</v>
      </c>
      <c r="D25" s="684">
        <v>1090879</v>
      </c>
      <c r="E25" s="684">
        <v>1103136</v>
      </c>
      <c r="F25" s="684">
        <v>1115523</v>
      </c>
      <c r="G25" s="684">
        <v>1127905</v>
      </c>
      <c r="H25" s="373">
        <v>1135568</v>
      </c>
      <c r="I25" s="756">
        <f>H25*(1+0.0088)</f>
        <v>1145560.9984</v>
      </c>
      <c r="J25" s="756">
        <f aca="true" t="shared" si="6" ref="J25:O25">I25*(1+0.0088)</f>
        <v>1155641.9351859197</v>
      </c>
      <c r="K25" s="756">
        <f t="shared" si="6"/>
        <v>1165811.5842155558</v>
      </c>
      <c r="L25" s="756">
        <f t="shared" si="6"/>
        <v>1176070.7261566527</v>
      </c>
      <c r="M25" s="756">
        <f t="shared" si="6"/>
        <v>1186420.1485468312</v>
      </c>
      <c r="N25" s="756">
        <f t="shared" si="6"/>
        <v>1196860.6458540433</v>
      </c>
      <c r="O25" s="455">
        <f t="shared" si="6"/>
        <v>1207393.0195375588</v>
      </c>
      <c r="P25" s="402">
        <f>(K25+L25+M25+N25+O25)/5</f>
        <v>1186511.2248621283</v>
      </c>
      <c r="Q25" s="736"/>
      <c r="R25" s="808" t="s">
        <v>490</v>
      </c>
    </row>
    <row r="26" spans="1:18" ht="24.75" customHeight="1">
      <c r="A26" s="50">
        <v>2.3</v>
      </c>
      <c r="B26" s="376" t="s">
        <v>13</v>
      </c>
      <c r="C26" s="50" t="s">
        <v>14</v>
      </c>
      <c r="D26" s="410">
        <f aca="true" t="shared" si="7" ref="D26:P26">D24*1000/D25</f>
        <v>266.91411238093315</v>
      </c>
      <c r="E26" s="410">
        <f t="shared" si="7"/>
        <v>276.77004467264237</v>
      </c>
      <c r="F26" s="410">
        <f t="shared" si="7"/>
        <v>274.25969702103856</v>
      </c>
      <c r="G26" s="410">
        <f t="shared" si="7"/>
        <v>258.2646588143505</v>
      </c>
      <c r="H26" s="410">
        <f t="shared" si="7"/>
        <v>284.6487396615614</v>
      </c>
      <c r="I26" s="757">
        <f t="shared" si="7"/>
        <v>284.29738831443797</v>
      </c>
      <c r="J26" s="758">
        <f t="shared" si="7"/>
        <v>268.5042750288218</v>
      </c>
      <c r="K26" s="757">
        <f t="shared" si="7"/>
        <v>274.4868933647796</v>
      </c>
      <c r="L26" s="757">
        <f t="shared" si="7"/>
        <v>276.76906903696147</v>
      </c>
      <c r="M26" s="757">
        <f t="shared" si="7"/>
        <v>274.7761831247524</v>
      </c>
      <c r="N26" s="757">
        <f t="shared" si="7"/>
        <v>274.0502840796049</v>
      </c>
      <c r="O26" s="410">
        <f t="shared" si="7"/>
        <v>265.0338330782818</v>
      </c>
      <c r="P26" s="758">
        <f t="shared" si="7"/>
        <v>272.9851966108765</v>
      </c>
      <c r="Q26" s="736"/>
      <c r="R26" s="809"/>
    </row>
    <row r="27" spans="1:17" ht="15.75">
      <c r="A27" s="50">
        <v>2.4</v>
      </c>
      <c r="B27" s="376" t="s">
        <v>15</v>
      </c>
      <c r="C27" s="50"/>
      <c r="D27" s="50"/>
      <c r="E27" s="398"/>
      <c r="F27" s="398"/>
      <c r="G27" s="398"/>
      <c r="H27" s="728"/>
      <c r="I27" s="759"/>
      <c r="J27" s="755"/>
      <c r="K27" s="408"/>
      <c r="L27" s="408"/>
      <c r="M27" s="408"/>
      <c r="N27" s="408"/>
      <c r="O27" s="442"/>
      <c r="P27" s="396"/>
      <c r="Q27" s="736"/>
    </row>
    <row r="28" spans="1:17" ht="15.75">
      <c r="A28" s="50"/>
      <c r="B28" s="376" t="s">
        <v>16</v>
      </c>
      <c r="C28" s="50" t="s">
        <v>412</v>
      </c>
      <c r="D28" s="373">
        <v>53705</v>
      </c>
      <c r="E28" s="718">
        <v>53445</v>
      </c>
      <c r="F28" s="718">
        <v>53757</v>
      </c>
      <c r="G28" s="718">
        <v>53659</v>
      </c>
      <c r="H28" s="718">
        <v>53717</v>
      </c>
      <c r="I28" s="760">
        <v>54451</v>
      </c>
      <c r="J28" s="755">
        <f aca="true" t="shared" si="8" ref="J28:J50">(I28+H28+G28+F28+E28)/5</f>
        <v>53805.8</v>
      </c>
      <c r="K28" s="408">
        <v>53300</v>
      </c>
      <c r="L28" s="408">
        <v>53100</v>
      </c>
      <c r="M28" s="408">
        <v>52800</v>
      </c>
      <c r="N28" s="408">
        <v>52500</v>
      </c>
      <c r="O28" s="407">
        <v>52000</v>
      </c>
      <c r="P28" s="397">
        <f aca="true" t="shared" si="9" ref="P28:P86">(K28+L28+M28+N28+O28)/5</f>
        <v>52740</v>
      </c>
      <c r="Q28" s="736">
        <f t="shared" si="3"/>
        <v>-0.6154138384835051</v>
      </c>
    </row>
    <row r="29" spans="1:19" ht="15.75">
      <c r="A29" s="50"/>
      <c r="B29" s="384" t="s">
        <v>17</v>
      </c>
      <c r="C29" s="50" t="s">
        <v>435</v>
      </c>
      <c r="D29" s="719">
        <v>285185</v>
      </c>
      <c r="E29" s="373">
        <v>299133</v>
      </c>
      <c r="F29" s="373">
        <v>298984</v>
      </c>
      <c r="G29" s="373">
        <v>284865</v>
      </c>
      <c r="H29" s="373">
        <v>317042</v>
      </c>
      <c r="I29" s="408">
        <v>320000</v>
      </c>
      <c r="J29" s="755">
        <f t="shared" si="8"/>
        <v>304004.8</v>
      </c>
      <c r="K29" s="408">
        <v>315000</v>
      </c>
      <c r="L29" s="408">
        <v>316000</v>
      </c>
      <c r="M29" s="408">
        <v>317500</v>
      </c>
      <c r="N29" s="408">
        <v>319000</v>
      </c>
      <c r="O29" s="407">
        <v>320000</v>
      </c>
      <c r="P29" s="397">
        <f t="shared" si="9"/>
        <v>317500</v>
      </c>
      <c r="Q29" s="736">
        <f t="shared" si="3"/>
        <v>0.3944849759158586</v>
      </c>
      <c r="S29" s="364" t="s">
        <v>491</v>
      </c>
    </row>
    <row r="30" spans="1:17" ht="15.75">
      <c r="A30" s="50"/>
      <c r="B30" s="384" t="s">
        <v>524</v>
      </c>
      <c r="C30" s="50" t="s">
        <v>412</v>
      </c>
      <c r="D30" s="719"/>
      <c r="E30" s="373"/>
      <c r="F30" s="373"/>
      <c r="G30" s="373"/>
      <c r="H30" s="373"/>
      <c r="I30" s="408">
        <v>6200</v>
      </c>
      <c r="J30" s="755"/>
      <c r="K30" s="408"/>
      <c r="L30" s="408"/>
      <c r="M30" s="408"/>
      <c r="N30" s="408"/>
      <c r="O30" s="407">
        <v>17000</v>
      </c>
      <c r="P30" s="397"/>
      <c r="Q30" s="736">
        <f>(O30/I30)^0.2*100-100</f>
        <v>22.352105233441222</v>
      </c>
    </row>
    <row r="31" spans="1:17" ht="15.75">
      <c r="A31" s="50"/>
      <c r="B31" s="384" t="s">
        <v>525</v>
      </c>
      <c r="C31" s="50" t="s">
        <v>435</v>
      </c>
      <c r="D31" s="719"/>
      <c r="E31" s="373"/>
      <c r="F31" s="373"/>
      <c r="G31" s="373"/>
      <c r="H31" s="373"/>
      <c r="I31" s="408">
        <v>36500</v>
      </c>
      <c r="J31" s="755"/>
      <c r="K31" s="408"/>
      <c r="L31" s="408"/>
      <c r="M31" s="408"/>
      <c r="N31" s="408"/>
      <c r="O31" s="407">
        <v>100000</v>
      </c>
      <c r="P31" s="397"/>
      <c r="Q31" s="736">
        <f>(O31/I31)^0.2*100-100</f>
        <v>22.33238056608772</v>
      </c>
    </row>
    <row r="32" spans="1:17" ht="15.75">
      <c r="A32" s="50"/>
      <c r="B32" s="376" t="s">
        <v>18</v>
      </c>
      <c r="C32" s="50" t="s">
        <v>412</v>
      </c>
      <c r="D32" s="719">
        <v>1636</v>
      </c>
      <c r="E32" s="373">
        <v>1656</v>
      </c>
      <c r="F32" s="720">
        <v>1712.1</v>
      </c>
      <c r="G32" s="720">
        <v>1613</v>
      </c>
      <c r="H32" s="720">
        <v>1585</v>
      </c>
      <c r="I32" s="408">
        <v>1612</v>
      </c>
      <c r="J32" s="755">
        <f t="shared" si="8"/>
        <v>1635.6200000000001</v>
      </c>
      <c r="K32" s="408">
        <v>1750</v>
      </c>
      <c r="L32" s="408">
        <v>1900</v>
      </c>
      <c r="M32" s="408">
        <v>2100</v>
      </c>
      <c r="N32" s="408">
        <v>2250</v>
      </c>
      <c r="O32" s="407">
        <v>2500</v>
      </c>
      <c r="P32" s="397">
        <f t="shared" si="9"/>
        <v>2100</v>
      </c>
      <c r="Q32" s="736">
        <f t="shared" si="3"/>
        <v>9.326511392909339</v>
      </c>
    </row>
    <row r="33" spans="1:17" ht="15.75">
      <c r="A33" s="50"/>
      <c r="B33" s="384" t="s">
        <v>17</v>
      </c>
      <c r="C33" s="50" t="s">
        <v>435</v>
      </c>
      <c r="D33" s="719">
        <v>5959</v>
      </c>
      <c r="E33" s="720">
        <v>6159</v>
      </c>
      <c r="F33" s="720">
        <v>6923</v>
      </c>
      <c r="G33" s="720">
        <v>6400</v>
      </c>
      <c r="H33" s="720">
        <v>6168</v>
      </c>
      <c r="I33" s="408">
        <v>6336</v>
      </c>
      <c r="J33" s="755">
        <f t="shared" si="8"/>
        <v>6397.2</v>
      </c>
      <c r="K33" s="408">
        <v>7000</v>
      </c>
      <c r="L33" s="408">
        <v>7600</v>
      </c>
      <c r="M33" s="408">
        <v>8400</v>
      </c>
      <c r="N33" s="408">
        <v>9000</v>
      </c>
      <c r="O33" s="407">
        <v>10000</v>
      </c>
      <c r="P33" s="397">
        <f t="shared" si="9"/>
        <v>8400</v>
      </c>
      <c r="Q33" s="736">
        <f>(O33/L33)^0.25*100-100</f>
        <v>7.101758592135582</v>
      </c>
    </row>
    <row r="34" spans="1:19" ht="15.75">
      <c r="A34" s="50"/>
      <c r="B34" s="376" t="s">
        <v>19</v>
      </c>
      <c r="C34" s="50" t="s">
        <v>412</v>
      </c>
      <c r="D34" s="719">
        <v>7080</v>
      </c>
      <c r="E34" s="720">
        <v>7811</v>
      </c>
      <c r="F34" s="720">
        <v>7595.2</v>
      </c>
      <c r="G34" s="720">
        <v>7192</v>
      </c>
      <c r="H34" s="739">
        <v>7008.96</v>
      </c>
      <c r="I34" s="408">
        <v>7140</v>
      </c>
      <c r="J34" s="755">
        <f t="shared" si="8"/>
        <v>7349.432000000001</v>
      </c>
      <c r="K34" s="408">
        <v>7500</v>
      </c>
      <c r="L34" s="408">
        <v>7100</v>
      </c>
      <c r="M34" s="408">
        <v>7200</v>
      </c>
      <c r="N34" s="408">
        <v>7300</v>
      </c>
      <c r="O34" s="407">
        <v>8000</v>
      </c>
      <c r="P34" s="397">
        <f t="shared" si="9"/>
        <v>7420</v>
      </c>
      <c r="Q34" s="736">
        <f>(O34/L34)^0.25*100-100</f>
        <v>3.0286263554236967</v>
      </c>
      <c r="S34" s="420"/>
    </row>
    <row r="35" spans="1:17" ht="15.75">
      <c r="A35" s="50"/>
      <c r="B35" s="384" t="s">
        <v>20</v>
      </c>
      <c r="C35" s="50" t="s">
        <v>435</v>
      </c>
      <c r="D35" s="721">
        <v>135100</v>
      </c>
      <c r="E35" s="720">
        <v>149300</v>
      </c>
      <c r="F35" s="720">
        <v>140199.88</v>
      </c>
      <c r="G35" s="720">
        <v>132200</v>
      </c>
      <c r="H35" s="390">
        <v>128264</v>
      </c>
      <c r="I35" s="408">
        <v>131347</v>
      </c>
      <c r="J35" s="755">
        <f t="shared" si="8"/>
        <v>136262.176</v>
      </c>
      <c r="K35" s="408">
        <v>135000</v>
      </c>
      <c r="L35" s="408">
        <v>134900</v>
      </c>
      <c r="M35" s="408">
        <v>140400</v>
      </c>
      <c r="N35" s="408">
        <v>146000</v>
      </c>
      <c r="O35" s="407">
        <v>152000</v>
      </c>
      <c r="P35" s="397">
        <f t="shared" si="9"/>
        <v>141660</v>
      </c>
      <c r="Q35" s="736">
        <f t="shared" si="3"/>
        <v>3.009541678055001</v>
      </c>
    </row>
    <row r="36" spans="1:17" ht="15.75">
      <c r="A36" s="50"/>
      <c r="B36" s="376" t="s">
        <v>21</v>
      </c>
      <c r="C36" s="50" t="s">
        <v>412</v>
      </c>
      <c r="D36" s="719">
        <v>4033</v>
      </c>
      <c r="E36" s="373">
        <v>3809</v>
      </c>
      <c r="F36" s="373">
        <v>3705</v>
      </c>
      <c r="G36" s="373">
        <v>3599</v>
      </c>
      <c r="H36" s="390">
        <v>3487</v>
      </c>
      <c r="I36" s="408">
        <v>3400</v>
      </c>
      <c r="J36" s="755">
        <f t="shared" si="8"/>
        <v>3600</v>
      </c>
      <c r="K36" s="408">
        <v>3500</v>
      </c>
      <c r="L36" s="408">
        <v>3550</v>
      </c>
      <c r="M36" s="408">
        <v>3550</v>
      </c>
      <c r="N36" s="408">
        <v>3600</v>
      </c>
      <c r="O36" s="407">
        <v>3600</v>
      </c>
      <c r="P36" s="397">
        <f t="shared" si="9"/>
        <v>3560</v>
      </c>
      <c r="Q36" s="736">
        <f t="shared" si="3"/>
        <v>0.7067577511171663</v>
      </c>
    </row>
    <row r="37" spans="1:17" ht="15.75">
      <c r="A37" s="50"/>
      <c r="B37" s="384" t="s">
        <v>20</v>
      </c>
      <c r="C37" s="50" t="s">
        <v>435</v>
      </c>
      <c r="D37" s="719">
        <v>8732</v>
      </c>
      <c r="E37" s="720">
        <v>7360</v>
      </c>
      <c r="F37" s="720">
        <v>8106.298000000001</v>
      </c>
      <c r="G37" s="720">
        <v>8195</v>
      </c>
      <c r="H37" s="720">
        <v>6312</v>
      </c>
      <c r="I37" s="408">
        <v>7650</v>
      </c>
      <c r="J37" s="755">
        <f t="shared" si="8"/>
        <v>7524.659600000001</v>
      </c>
      <c r="K37" s="408">
        <v>8000</v>
      </c>
      <c r="L37" s="408">
        <v>6745</v>
      </c>
      <c r="M37" s="408">
        <v>6922.5</v>
      </c>
      <c r="N37" s="408">
        <v>7200</v>
      </c>
      <c r="O37" s="407">
        <v>8000</v>
      </c>
      <c r="P37" s="397">
        <f t="shared" si="9"/>
        <v>7373.5</v>
      </c>
      <c r="Q37" s="736">
        <f t="shared" si="3"/>
        <v>0</v>
      </c>
    </row>
    <row r="38" spans="1:17" ht="15.75">
      <c r="A38" s="50"/>
      <c r="B38" s="376" t="s">
        <v>456</v>
      </c>
      <c r="C38" s="50" t="s">
        <v>412</v>
      </c>
      <c r="D38" s="719">
        <v>4520</v>
      </c>
      <c r="E38" s="373">
        <v>4574</v>
      </c>
      <c r="F38" s="373">
        <v>4423</v>
      </c>
      <c r="G38" s="373">
        <v>4496</v>
      </c>
      <c r="H38" s="720">
        <v>4456</v>
      </c>
      <c r="I38" s="408">
        <v>4401</v>
      </c>
      <c r="J38" s="755">
        <f t="shared" si="8"/>
        <v>4470</v>
      </c>
      <c r="K38" s="408">
        <v>4550</v>
      </c>
      <c r="L38" s="408">
        <v>4550</v>
      </c>
      <c r="M38" s="408">
        <v>4550</v>
      </c>
      <c r="N38" s="408">
        <v>4550</v>
      </c>
      <c r="O38" s="407">
        <v>4550</v>
      </c>
      <c r="P38" s="397">
        <f t="shared" si="9"/>
        <v>4550</v>
      </c>
      <c r="Q38" s="736">
        <f t="shared" si="3"/>
        <v>0</v>
      </c>
    </row>
    <row r="39" spans="1:17" ht="15.75">
      <c r="A39" s="50"/>
      <c r="B39" s="384" t="s">
        <v>22</v>
      </c>
      <c r="C39" s="50" t="s">
        <v>435</v>
      </c>
      <c r="D39" s="373">
        <v>45434</v>
      </c>
      <c r="E39" s="722">
        <v>44093</v>
      </c>
      <c r="F39" s="722">
        <v>45037</v>
      </c>
      <c r="G39" s="437">
        <v>48948</v>
      </c>
      <c r="H39" s="721">
        <v>45637</v>
      </c>
      <c r="I39" s="761">
        <v>45813</v>
      </c>
      <c r="J39" s="755">
        <f t="shared" si="8"/>
        <v>45905.6</v>
      </c>
      <c r="K39" s="408">
        <v>47775</v>
      </c>
      <c r="L39" s="408">
        <v>50050</v>
      </c>
      <c r="M39" s="408">
        <v>50050</v>
      </c>
      <c r="N39" s="408">
        <v>52325</v>
      </c>
      <c r="O39" s="407">
        <v>52325</v>
      </c>
      <c r="P39" s="397">
        <f t="shared" si="9"/>
        <v>50505</v>
      </c>
      <c r="Q39" s="736">
        <f t="shared" si="3"/>
        <v>2.300353711244199</v>
      </c>
    </row>
    <row r="40" spans="1:17" ht="15.75">
      <c r="A40" s="50"/>
      <c r="B40" s="384" t="s">
        <v>526</v>
      </c>
      <c r="C40" s="50" t="s">
        <v>412</v>
      </c>
      <c r="D40" s="373"/>
      <c r="E40" s="722"/>
      <c r="F40" s="722"/>
      <c r="G40" s="437"/>
      <c r="H40" s="721"/>
      <c r="I40" s="761">
        <v>190</v>
      </c>
      <c r="J40" s="755"/>
      <c r="K40" s="408"/>
      <c r="L40" s="408"/>
      <c r="M40" s="408"/>
      <c r="N40" s="408"/>
      <c r="O40" s="407">
        <v>600</v>
      </c>
      <c r="P40" s="397"/>
      <c r="Q40" s="736">
        <f>(O40/I40)^0.2*100-100</f>
        <v>25.857624352045704</v>
      </c>
    </row>
    <row r="41" spans="1:17" ht="15.75">
      <c r="A41" s="50"/>
      <c r="B41" s="384" t="s">
        <v>527</v>
      </c>
      <c r="C41" s="50" t="s">
        <v>435</v>
      </c>
      <c r="D41" s="373"/>
      <c r="E41" s="722"/>
      <c r="F41" s="722"/>
      <c r="G41" s="437"/>
      <c r="H41" s="721"/>
      <c r="I41" s="761">
        <v>2000</v>
      </c>
      <c r="J41" s="755"/>
      <c r="K41" s="408"/>
      <c r="L41" s="408"/>
      <c r="M41" s="408"/>
      <c r="N41" s="408"/>
      <c r="O41" s="407">
        <v>6200</v>
      </c>
      <c r="P41" s="397"/>
      <c r="Q41" s="736">
        <f>(O41/I41)^0.2*100-100</f>
        <v>25.392724514034953</v>
      </c>
    </row>
    <row r="42" spans="1:17" ht="15.75">
      <c r="A42" s="50"/>
      <c r="B42" s="376" t="s">
        <v>24</v>
      </c>
      <c r="C42" s="50" t="s">
        <v>412</v>
      </c>
      <c r="D42" s="443">
        <v>8811.4</v>
      </c>
      <c r="E42" s="717">
        <v>9038.7</v>
      </c>
      <c r="F42" s="720">
        <v>9163</v>
      </c>
      <c r="G42" s="720">
        <v>9256</v>
      </c>
      <c r="H42" s="720">
        <v>9412</v>
      </c>
      <c r="I42" s="408">
        <v>9350</v>
      </c>
      <c r="J42" s="755">
        <f t="shared" si="8"/>
        <v>9243.939999999999</v>
      </c>
      <c r="K42" s="408">
        <v>9700</v>
      </c>
      <c r="L42" s="408">
        <v>10000</v>
      </c>
      <c r="M42" s="408">
        <v>10500</v>
      </c>
      <c r="N42" s="408">
        <v>11000</v>
      </c>
      <c r="O42" s="407">
        <v>13500</v>
      </c>
      <c r="P42" s="397">
        <f t="shared" si="9"/>
        <v>10940</v>
      </c>
      <c r="Q42" s="736">
        <f t="shared" si="3"/>
        <v>8.615175572266224</v>
      </c>
    </row>
    <row r="43" spans="1:20" ht="15.75">
      <c r="A43" s="50"/>
      <c r="B43" s="384" t="s">
        <v>25</v>
      </c>
      <c r="C43" s="50" t="s">
        <v>435</v>
      </c>
      <c r="D43" s="424">
        <v>3616</v>
      </c>
      <c r="E43" s="720">
        <v>4613</v>
      </c>
      <c r="F43" s="717">
        <v>5823.7</v>
      </c>
      <c r="G43" s="717">
        <v>6115.2</v>
      </c>
      <c r="H43" s="720">
        <v>6345</v>
      </c>
      <c r="I43" s="424">
        <v>5695</v>
      </c>
      <c r="J43" s="755">
        <f t="shared" si="8"/>
        <v>5718.38</v>
      </c>
      <c r="K43" s="408">
        <v>6000</v>
      </c>
      <c r="L43" s="408">
        <v>6998</v>
      </c>
      <c r="M43" s="408">
        <v>7264</v>
      </c>
      <c r="N43" s="408">
        <v>7501</v>
      </c>
      <c r="O43" s="407">
        <v>7744</v>
      </c>
      <c r="P43" s="397">
        <f t="shared" si="9"/>
        <v>7101.4</v>
      </c>
      <c r="Q43" s="736">
        <f t="shared" si="3"/>
        <v>6.586824461915029</v>
      </c>
      <c r="T43" s="798"/>
    </row>
    <row r="44" spans="1:20" ht="15.75">
      <c r="A44" s="50"/>
      <c r="B44" s="384" t="s">
        <v>530</v>
      </c>
      <c r="C44" s="50" t="s">
        <v>412</v>
      </c>
      <c r="D44" s="424"/>
      <c r="E44" s="720"/>
      <c r="F44" s="717"/>
      <c r="G44" s="717"/>
      <c r="H44" s="720"/>
      <c r="I44" s="424">
        <v>620</v>
      </c>
      <c r="J44" s="755"/>
      <c r="K44" s="408"/>
      <c r="L44" s="408"/>
      <c r="M44" s="408"/>
      <c r="N44" s="408"/>
      <c r="O44" s="407">
        <v>1000</v>
      </c>
      <c r="P44" s="397"/>
      <c r="Q44" s="736">
        <f>(O44/I44)^0.2*100-100</f>
        <v>10.032672693604681</v>
      </c>
      <c r="T44" s="798"/>
    </row>
    <row r="45" spans="1:20" ht="15.75">
      <c r="A45" s="50"/>
      <c r="B45" s="384" t="s">
        <v>531</v>
      </c>
      <c r="C45" s="50" t="s">
        <v>435</v>
      </c>
      <c r="D45" s="424"/>
      <c r="E45" s="720"/>
      <c r="F45" s="717"/>
      <c r="G45" s="717"/>
      <c r="H45" s="720"/>
      <c r="I45" s="424">
        <v>8500</v>
      </c>
      <c r="J45" s="755"/>
      <c r="K45" s="408"/>
      <c r="L45" s="408"/>
      <c r="M45" s="408"/>
      <c r="N45" s="408"/>
      <c r="O45" s="407">
        <v>14000</v>
      </c>
      <c r="P45" s="397"/>
      <c r="Q45" s="736">
        <f>(O45/I45)^0.2*100-100</f>
        <v>10.494795379650299</v>
      </c>
      <c r="T45" s="798"/>
    </row>
    <row r="46" spans="1:17" ht="31.5">
      <c r="A46" s="50">
        <v>2.5</v>
      </c>
      <c r="B46" s="376" t="s">
        <v>26</v>
      </c>
      <c r="C46" s="50" t="s">
        <v>406</v>
      </c>
      <c r="D46" s="443">
        <v>43.5</v>
      </c>
      <c r="E46" s="447">
        <v>61</v>
      </c>
      <c r="F46" s="370">
        <v>61.1</v>
      </c>
      <c r="G46" s="370">
        <v>60.2</v>
      </c>
      <c r="H46" s="370">
        <v>66.6</v>
      </c>
      <c r="I46" s="762">
        <v>65</v>
      </c>
      <c r="J46" s="748">
        <f t="shared" si="8"/>
        <v>62.779999999999994</v>
      </c>
      <c r="K46" s="762">
        <v>65</v>
      </c>
      <c r="L46" s="762">
        <v>66</v>
      </c>
      <c r="M46" s="372">
        <v>67</v>
      </c>
      <c r="N46" s="372">
        <v>69</v>
      </c>
      <c r="O46" s="400">
        <v>70</v>
      </c>
      <c r="P46" s="446">
        <f t="shared" si="9"/>
        <v>67.4</v>
      </c>
      <c r="Q46" s="736">
        <f t="shared" si="3"/>
        <v>1.8699682598135325</v>
      </c>
    </row>
    <row r="47" spans="1:17" ht="31.5">
      <c r="A47" s="50"/>
      <c r="B47" s="376" t="s">
        <v>27</v>
      </c>
      <c r="C47" s="50" t="s">
        <v>406</v>
      </c>
      <c r="D47" s="400">
        <v>43.8</v>
      </c>
      <c r="E47" s="370">
        <v>61.3</v>
      </c>
      <c r="F47" s="370">
        <v>60.9</v>
      </c>
      <c r="G47" s="370">
        <v>60.4</v>
      </c>
      <c r="H47" s="682">
        <v>68.9</v>
      </c>
      <c r="I47" s="372">
        <v>67.5</v>
      </c>
      <c r="J47" s="748">
        <f t="shared" si="8"/>
        <v>63.8</v>
      </c>
      <c r="K47" s="372">
        <v>67.5</v>
      </c>
      <c r="L47" s="372">
        <v>67.5</v>
      </c>
      <c r="M47" s="372">
        <v>67.5</v>
      </c>
      <c r="N47" s="372">
        <v>67.5</v>
      </c>
      <c r="O47" s="400">
        <v>68</v>
      </c>
      <c r="P47" s="446">
        <f t="shared" si="9"/>
        <v>67.6</v>
      </c>
      <c r="Q47" s="736"/>
    </row>
    <row r="48" spans="1:17" ht="31.5">
      <c r="A48" s="50"/>
      <c r="B48" s="376" t="s">
        <v>532</v>
      </c>
      <c r="C48" s="50" t="s">
        <v>406</v>
      </c>
      <c r="D48" s="444">
        <v>13.08</v>
      </c>
      <c r="E48" s="443">
        <v>13.8</v>
      </c>
      <c r="F48" s="443">
        <v>13.7</v>
      </c>
      <c r="G48" s="443">
        <v>13.09</v>
      </c>
      <c r="H48" s="686">
        <v>14.55</v>
      </c>
      <c r="I48" s="498">
        <v>58</v>
      </c>
      <c r="J48" s="748">
        <f t="shared" si="8"/>
        <v>22.628</v>
      </c>
      <c r="K48" s="372">
        <v>14.3</v>
      </c>
      <c r="L48" s="372">
        <v>14.4</v>
      </c>
      <c r="M48" s="372">
        <v>14.5</v>
      </c>
      <c r="N48" s="372">
        <v>14.7</v>
      </c>
      <c r="O48" s="424">
        <v>72</v>
      </c>
      <c r="P48" s="446">
        <f t="shared" si="9"/>
        <v>25.98</v>
      </c>
      <c r="Q48" s="736"/>
    </row>
    <row r="49" spans="1:17" ht="31.5">
      <c r="A49" s="50"/>
      <c r="B49" s="376" t="s">
        <v>29</v>
      </c>
      <c r="C49" s="50" t="s">
        <v>406</v>
      </c>
      <c r="D49" s="444">
        <v>23.64</v>
      </c>
      <c r="E49" s="443">
        <v>23.68</v>
      </c>
      <c r="F49" s="443">
        <v>22.87</v>
      </c>
      <c r="G49" s="443">
        <v>22.77</v>
      </c>
      <c r="H49" s="686">
        <v>22.67</v>
      </c>
      <c r="I49" s="498">
        <v>36</v>
      </c>
      <c r="J49" s="748">
        <f t="shared" si="8"/>
        <v>25.598000000000003</v>
      </c>
      <c r="K49" s="763">
        <v>22.92</v>
      </c>
      <c r="L49" s="763">
        <v>23.41</v>
      </c>
      <c r="M49" s="763">
        <v>24.16</v>
      </c>
      <c r="N49" s="763">
        <v>24.78</v>
      </c>
      <c r="O49" s="424">
        <v>45</v>
      </c>
      <c r="P49" s="446">
        <f t="shared" si="9"/>
        <v>28.053999999999995</v>
      </c>
      <c r="Q49" s="736"/>
    </row>
    <row r="50" spans="1:17" ht="18.75" customHeight="1">
      <c r="A50" s="50"/>
      <c r="B50" s="376" t="s">
        <v>30</v>
      </c>
      <c r="C50" s="50" t="s">
        <v>406</v>
      </c>
      <c r="D50" s="444">
        <v>49.32</v>
      </c>
      <c r="E50" s="443">
        <v>46.4</v>
      </c>
      <c r="F50" s="443">
        <v>46.89</v>
      </c>
      <c r="G50" s="443">
        <v>46.06</v>
      </c>
      <c r="H50" s="686">
        <v>43.59</v>
      </c>
      <c r="I50" s="498">
        <v>43.18</v>
      </c>
      <c r="J50" s="748">
        <f t="shared" si="8"/>
        <v>45.224000000000004</v>
      </c>
      <c r="K50" s="764">
        <v>43.59</v>
      </c>
      <c r="L50" s="764">
        <v>44.41</v>
      </c>
      <c r="M50" s="764">
        <v>45.24</v>
      </c>
      <c r="N50" s="764">
        <v>46.06</v>
      </c>
      <c r="O50" s="455">
        <v>47</v>
      </c>
      <c r="P50" s="446">
        <f t="shared" si="9"/>
        <v>45.260000000000005</v>
      </c>
      <c r="Q50" s="736"/>
    </row>
    <row r="51" spans="1:17" s="363" customFormat="1" ht="15.75">
      <c r="A51" s="379">
        <v>3</v>
      </c>
      <c r="B51" s="380" t="s">
        <v>407</v>
      </c>
      <c r="C51" s="379"/>
      <c r="D51" s="379"/>
      <c r="E51" s="402"/>
      <c r="F51" s="402"/>
      <c r="G51" s="402"/>
      <c r="H51" s="687"/>
      <c r="I51" s="746"/>
      <c r="J51" s="755"/>
      <c r="K51" s="746"/>
      <c r="L51" s="746"/>
      <c r="M51" s="746"/>
      <c r="N51" s="746"/>
      <c r="O51" s="411"/>
      <c r="P51" s="397"/>
      <c r="Q51" s="736"/>
    </row>
    <row r="52" spans="1:17" ht="18" customHeight="1">
      <c r="A52" s="50" t="s">
        <v>110</v>
      </c>
      <c r="B52" s="376" t="s">
        <v>414</v>
      </c>
      <c r="C52" s="50" t="s">
        <v>31</v>
      </c>
      <c r="D52" s="393">
        <v>27401</v>
      </c>
      <c r="E52" s="423">
        <v>25637</v>
      </c>
      <c r="F52" s="423">
        <v>23526</v>
      </c>
      <c r="G52" s="423">
        <v>21521</v>
      </c>
      <c r="H52" s="688">
        <v>21594</v>
      </c>
      <c r="I52" s="756">
        <v>21600</v>
      </c>
      <c r="J52" s="755">
        <f>(I52+H52+G52+F52+E52)/5</f>
        <v>22775.6</v>
      </c>
      <c r="K52" s="754">
        <v>22150</v>
      </c>
      <c r="L52" s="754">
        <v>22470</v>
      </c>
      <c r="M52" s="754">
        <v>22810</v>
      </c>
      <c r="N52" s="754">
        <v>23160</v>
      </c>
      <c r="O52" s="424">
        <v>23460</v>
      </c>
      <c r="P52" s="397">
        <f t="shared" si="9"/>
        <v>22810</v>
      </c>
      <c r="Q52" s="736">
        <f t="shared" si="3"/>
        <v>1.4468506756445407</v>
      </c>
    </row>
    <row r="53" spans="1:17" ht="18" customHeight="1">
      <c r="A53" s="50">
        <v>3.2</v>
      </c>
      <c r="B53" s="376" t="s">
        <v>416</v>
      </c>
      <c r="C53" s="50" t="s">
        <v>31</v>
      </c>
      <c r="D53" s="393">
        <v>23856</v>
      </c>
      <c r="E53" s="423">
        <v>22585</v>
      </c>
      <c r="F53" s="423">
        <v>21356</v>
      </c>
      <c r="G53" s="423">
        <v>21103</v>
      </c>
      <c r="H53" s="688">
        <v>21236</v>
      </c>
      <c r="I53" s="756">
        <v>25300</v>
      </c>
      <c r="J53" s="755">
        <f>(I53+H53+G53+F53+E53)/5</f>
        <v>22316</v>
      </c>
      <c r="K53" s="754">
        <v>24208</v>
      </c>
      <c r="L53" s="754">
        <v>25350</v>
      </c>
      <c r="M53" s="754">
        <v>26520</v>
      </c>
      <c r="N53" s="754">
        <v>27800</v>
      </c>
      <c r="O53" s="424">
        <v>30000</v>
      </c>
      <c r="P53" s="397">
        <f t="shared" si="9"/>
        <v>26775.6</v>
      </c>
      <c r="Q53" s="736">
        <f t="shared" si="3"/>
        <v>5.5092621698973545</v>
      </c>
    </row>
    <row r="54" spans="1:17" ht="18" customHeight="1">
      <c r="A54" s="50"/>
      <c r="B54" s="376" t="s">
        <v>528</v>
      </c>
      <c r="C54" s="50"/>
      <c r="D54" s="393"/>
      <c r="E54" s="423"/>
      <c r="F54" s="423"/>
      <c r="G54" s="423"/>
      <c r="H54" s="688"/>
      <c r="I54" s="756"/>
      <c r="J54" s="755"/>
      <c r="K54" s="754"/>
      <c r="L54" s="754"/>
      <c r="M54" s="754"/>
      <c r="N54" s="754"/>
      <c r="O54" s="424"/>
      <c r="P54" s="397"/>
      <c r="Q54" s="736"/>
    </row>
    <row r="55" spans="1:17" ht="18" customHeight="1">
      <c r="A55" s="50">
        <v>3.3</v>
      </c>
      <c r="B55" s="376" t="s">
        <v>417</v>
      </c>
      <c r="C55" s="50" t="s">
        <v>31</v>
      </c>
      <c r="D55" s="393">
        <v>246962</v>
      </c>
      <c r="E55" s="423">
        <v>232935</v>
      </c>
      <c r="F55" s="423">
        <v>230096</v>
      </c>
      <c r="G55" s="423">
        <v>198983</v>
      </c>
      <c r="H55" s="688">
        <v>199452</v>
      </c>
      <c r="I55" s="756">
        <v>202000</v>
      </c>
      <c r="J55" s="755">
        <f>(I55+H55+G55+F55+E55)/5</f>
        <v>212693.2</v>
      </c>
      <c r="K55" s="754">
        <v>225927</v>
      </c>
      <c r="L55" s="754">
        <v>240470</v>
      </c>
      <c r="M55" s="754">
        <v>256750</v>
      </c>
      <c r="N55" s="754">
        <v>275000</v>
      </c>
      <c r="O55" s="424">
        <v>296000</v>
      </c>
      <c r="P55" s="397">
        <f>(K55+L55+M55+N55+O55)/5</f>
        <v>258829.4</v>
      </c>
      <c r="Q55" s="736">
        <f t="shared" si="3"/>
        <v>6.986971461694964</v>
      </c>
    </row>
    <row r="56" spans="1:17" ht="18" customHeight="1">
      <c r="A56" s="50"/>
      <c r="B56" s="376" t="s">
        <v>529</v>
      </c>
      <c r="C56" s="50" t="s">
        <v>120</v>
      </c>
      <c r="D56" s="393"/>
      <c r="E56" s="423"/>
      <c r="F56" s="423"/>
      <c r="G56" s="423"/>
      <c r="H56" s="688"/>
      <c r="I56" s="764">
        <v>57.8</v>
      </c>
      <c r="J56" s="755"/>
      <c r="K56" s="754"/>
      <c r="L56" s="754"/>
      <c r="M56" s="754"/>
      <c r="N56" s="754"/>
      <c r="O56" s="424">
        <v>75</v>
      </c>
      <c r="P56" s="397"/>
      <c r="Q56" s="736"/>
    </row>
    <row r="57" spans="1:17" ht="15.75">
      <c r="A57" s="50" t="s">
        <v>111</v>
      </c>
      <c r="B57" s="376" t="s">
        <v>418</v>
      </c>
      <c r="C57" s="50" t="s">
        <v>415</v>
      </c>
      <c r="D57" s="461">
        <v>205</v>
      </c>
      <c r="E57" s="374">
        <v>2117.06</v>
      </c>
      <c r="F57" s="374">
        <v>2179.566</v>
      </c>
      <c r="G57" s="374">
        <v>2126.803</v>
      </c>
      <c r="H57" s="689">
        <v>2141.165</v>
      </c>
      <c r="I57" s="754">
        <v>2200</v>
      </c>
      <c r="J57" s="765">
        <f>(I57+H57+G57+F57+E57)/5</f>
        <v>2152.9188</v>
      </c>
      <c r="K57" s="754">
        <v>2479</v>
      </c>
      <c r="L57" s="754">
        <v>2674</v>
      </c>
      <c r="M57" s="754">
        <v>288000</v>
      </c>
      <c r="N57" s="754">
        <v>3110</v>
      </c>
      <c r="O57" s="424">
        <v>3300</v>
      </c>
      <c r="P57" s="397">
        <f t="shared" si="9"/>
        <v>59912.6</v>
      </c>
      <c r="Q57" s="736">
        <f t="shared" si="3"/>
        <v>7.4136200178454885</v>
      </c>
    </row>
    <row r="58" spans="1:17" ht="15.75">
      <c r="A58" s="50">
        <v>3.5</v>
      </c>
      <c r="B58" s="723" t="s">
        <v>434</v>
      </c>
      <c r="C58" s="369" t="s">
        <v>404</v>
      </c>
      <c r="D58" s="392">
        <v>26998</v>
      </c>
      <c r="E58" s="390">
        <v>26363</v>
      </c>
      <c r="F58" s="390">
        <v>26046</v>
      </c>
      <c r="G58" s="373">
        <v>24697</v>
      </c>
      <c r="H58" s="683">
        <v>25863</v>
      </c>
      <c r="I58" s="754">
        <v>31000</v>
      </c>
      <c r="J58" s="755">
        <f>(I58+H58+G58+F58+E58)/5</f>
        <v>26793.8</v>
      </c>
      <c r="K58" s="408">
        <v>34346</v>
      </c>
      <c r="L58" s="408">
        <v>36565</v>
      </c>
      <c r="M58" s="408">
        <v>39000</v>
      </c>
      <c r="N58" s="408">
        <v>41750</v>
      </c>
      <c r="O58" s="407">
        <v>45000</v>
      </c>
      <c r="P58" s="397">
        <f t="shared" si="9"/>
        <v>39332.2</v>
      </c>
      <c r="Q58" s="736">
        <f t="shared" si="3"/>
        <v>6.987758089737397</v>
      </c>
    </row>
    <row r="59" spans="1:17" ht="22.5" customHeight="1">
      <c r="A59" s="50">
        <v>3.6</v>
      </c>
      <c r="B59" s="376" t="s">
        <v>32</v>
      </c>
      <c r="C59" s="50" t="s">
        <v>120</v>
      </c>
      <c r="D59" s="50">
        <v>3</v>
      </c>
      <c r="E59" s="391" t="s">
        <v>445</v>
      </c>
      <c r="F59" s="391" t="s">
        <v>446</v>
      </c>
      <c r="G59" s="370">
        <v>4</v>
      </c>
      <c r="H59" s="682">
        <v>6</v>
      </c>
      <c r="I59" s="372">
        <v>8</v>
      </c>
      <c r="J59" s="755">
        <f>I59</f>
        <v>8</v>
      </c>
      <c r="K59" s="50" t="s">
        <v>447</v>
      </c>
      <c r="L59" s="372">
        <v>17</v>
      </c>
      <c r="M59" s="50" t="s">
        <v>448</v>
      </c>
      <c r="N59" s="372">
        <v>27</v>
      </c>
      <c r="O59" s="400">
        <v>30</v>
      </c>
      <c r="P59" s="397">
        <f>O59</f>
        <v>30</v>
      </c>
      <c r="Q59" s="736"/>
    </row>
    <row r="60" spans="1:17" ht="31.5">
      <c r="A60" s="50">
        <v>3.7</v>
      </c>
      <c r="B60" s="376" t="s">
        <v>33</v>
      </c>
      <c r="C60" s="50" t="s">
        <v>120</v>
      </c>
      <c r="D60" s="50">
        <v>8</v>
      </c>
      <c r="E60" s="370">
        <v>9</v>
      </c>
      <c r="F60" s="370">
        <v>10</v>
      </c>
      <c r="G60" s="370">
        <v>12</v>
      </c>
      <c r="H60" s="682">
        <v>14</v>
      </c>
      <c r="I60" s="372">
        <v>16</v>
      </c>
      <c r="J60" s="755">
        <f>I60</f>
        <v>16</v>
      </c>
      <c r="K60" s="372">
        <v>19</v>
      </c>
      <c r="L60" s="372">
        <v>24</v>
      </c>
      <c r="M60" s="372">
        <v>28</v>
      </c>
      <c r="N60" s="372">
        <v>35</v>
      </c>
      <c r="O60" s="400">
        <v>40</v>
      </c>
      <c r="P60" s="397">
        <f>O60</f>
        <v>40</v>
      </c>
      <c r="Q60" s="736"/>
    </row>
    <row r="61" spans="1:17" ht="15.75">
      <c r="A61" s="50">
        <v>3.8</v>
      </c>
      <c r="B61" s="376" t="s">
        <v>34</v>
      </c>
      <c r="C61" s="50" t="s">
        <v>120</v>
      </c>
      <c r="D61" s="50">
        <v>92</v>
      </c>
      <c r="E61" s="370">
        <v>86</v>
      </c>
      <c r="F61" s="370">
        <v>87</v>
      </c>
      <c r="G61" s="370">
        <v>83</v>
      </c>
      <c r="H61" s="682">
        <v>85</v>
      </c>
      <c r="I61" s="372">
        <v>86</v>
      </c>
      <c r="J61" s="755">
        <f>I61</f>
        <v>86</v>
      </c>
      <c r="K61" s="372">
        <v>90</v>
      </c>
      <c r="L61" s="372">
        <v>90</v>
      </c>
      <c r="M61" s="372">
        <v>90</v>
      </c>
      <c r="N61" s="372">
        <v>90</v>
      </c>
      <c r="O61" s="400">
        <v>90</v>
      </c>
      <c r="P61" s="397">
        <f t="shared" si="9"/>
        <v>90</v>
      </c>
      <c r="Q61" s="736"/>
    </row>
    <row r="62" spans="1:17" ht="15.75">
      <c r="A62" s="50">
        <v>3.9</v>
      </c>
      <c r="B62" s="376" t="s">
        <v>35</v>
      </c>
      <c r="C62" s="50" t="s">
        <v>120</v>
      </c>
      <c r="D62" s="50">
        <v>90</v>
      </c>
      <c r="E62" s="370">
        <v>0</v>
      </c>
      <c r="F62" s="370">
        <v>80</v>
      </c>
      <c r="G62" s="370">
        <v>75</v>
      </c>
      <c r="H62" s="682">
        <v>80</v>
      </c>
      <c r="I62" s="372">
        <v>80</v>
      </c>
      <c r="J62" s="755">
        <f>I62</f>
        <v>80</v>
      </c>
      <c r="K62" s="372">
        <v>80</v>
      </c>
      <c r="L62" s="372">
        <v>80</v>
      </c>
      <c r="M62" s="372">
        <v>80</v>
      </c>
      <c r="N62" s="372">
        <v>80</v>
      </c>
      <c r="O62" s="400">
        <v>80</v>
      </c>
      <c r="P62" s="397">
        <f t="shared" si="9"/>
        <v>80</v>
      </c>
      <c r="Q62" s="736"/>
    </row>
    <row r="63" spans="1:17" s="363" customFormat="1" ht="15.75">
      <c r="A63" s="379">
        <v>4</v>
      </c>
      <c r="B63" s="380" t="s">
        <v>433</v>
      </c>
      <c r="C63" s="379"/>
      <c r="D63" s="379"/>
      <c r="E63" s="724"/>
      <c r="F63" s="724"/>
      <c r="G63" s="724"/>
      <c r="H63" s="725">
        <f>H64/D64*100</f>
        <v>117.79322328410078</v>
      </c>
      <c r="I63" s="766"/>
      <c r="J63" s="755"/>
      <c r="K63" s="746"/>
      <c r="L63" s="746"/>
      <c r="M63" s="746"/>
      <c r="N63" s="746"/>
      <c r="O63" s="411"/>
      <c r="P63" s="397">
        <f t="shared" si="9"/>
        <v>0</v>
      </c>
      <c r="Q63" s="736"/>
    </row>
    <row r="64" spans="1:17" ht="15.75">
      <c r="A64" s="50">
        <v>4.1</v>
      </c>
      <c r="B64" s="376" t="s">
        <v>36</v>
      </c>
      <c r="C64" s="50" t="s">
        <v>412</v>
      </c>
      <c r="D64" s="448">
        <f aca="true" t="shared" si="10" ref="D64:I64">D65+D67</f>
        <v>5755</v>
      </c>
      <c r="E64" s="448">
        <f t="shared" si="10"/>
        <v>5785</v>
      </c>
      <c r="F64" s="448">
        <f t="shared" si="10"/>
        <v>6195</v>
      </c>
      <c r="G64" s="448">
        <f t="shared" si="10"/>
        <v>6389</v>
      </c>
      <c r="H64" s="690">
        <f t="shared" si="10"/>
        <v>6779</v>
      </c>
      <c r="I64" s="756">
        <f t="shared" si="10"/>
        <v>6866.192519980844</v>
      </c>
      <c r="J64" s="765">
        <f>(I64+H64+G64+F64+E64)/5</f>
        <v>6402.838503996169</v>
      </c>
      <c r="K64" s="756">
        <f>K65+K67</f>
        <v>6945.0358619256285</v>
      </c>
      <c r="L64" s="756">
        <f>L65+L67</f>
        <v>7026.622250859677</v>
      </c>
      <c r="M64" s="756">
        <f>M65+M67</f>
        <v>7111.047120418847</v>
      </c>
      <c r="N64" s="756">
        <f>N65+N67</f>
        <v>7190</v>
      </c>
      <c r="O64" s="455">
        <f>O65+O67</f>
        <v>7280</v>
      </c>
      <c r="P64" s="397">
        <f t="shared" si="9"/>
        <v>7110.54104664083</v>
      </c>
      <c r="Q64" s="736">
        <f t="shared" si="3"/>
        <v>1.184553981785669</v>
      </c>
    </row>
    <row r="65" spans="1:17" ht="15.75">
      <c r="A65" s="50"/>
      <c r="B65" s="376" t="s">
        <v>37</v>
      </c>
      <c r="C65" s="50" t="s">
        <v>412</v>
      </c>
      <c r="D65" s="424">
        <v>3845</v>
      </c>
      <c r="E65" s="407">
        <v>3875</v>
      </c>
      <c r="F65" s="407">
        <v>4192</v>
      </c>
      <c r="G65" s="455">
        <v>4322</v>
      </c>
      <c r="H65" s="691">
        <v>4589</v>
      </c>
      <c r="I65" s="756">
        <v>4600</v>
      </c>
      <c r="J65" s="756">
        <v>4600</v>
      </c>
      <c r="K65" s="756">
        <v>4600</v>
      </c>
      <c r="L65" s="756">
        <v>4600</v>
      </c>
      <c r="M65" s="756">
        <v>4600</v>
      </c>
      <c r="N65" s="756">
        <v>4600</v>
      </c>
      <c r="O65" s="455">
        <v>4600</v>
      </c>
      <c r="P65" s="397">
        <f t="shared" si="9"/>
        <v>4600</v>
      </c>
      <c r="Q65" s="736"/>
    </row>
    <row r="66" spans="1:17" s="375" customFormat="1" ht="15.75">
      <c r="A66" s="381"/>
      <c r="B66" s="382" t="s">
        <v>486</v>
      </c>
      <c r="C66" s="381" t="s">
        <v>412</v>
      </c>
      <c r="D66" s="664">
        <v>1611.2</v>
      </c>
      <c r="E66" s="477">
        <v>940.3</v>
      </c>
      <c r="F66" s="477">
        <v>876.4</v>
      </c>
      <c r="G66" s="477">
        <v>694.6</v>
      </c>
      <c r="H66" s="692">
        <v>689.4</v>
      </c>
      <c r="I66" s="767">
        <v>1300</v>
      </c>
      <c r="J66" s="765">
        <f>(I66+H66+G66+F66+E66)/5</f>
        <v>900.14</v>
      </c>
      <c r="K66" s="767">
        <v>1300</v>
      </c>
      <c r="L66" s="767">
        <v>1300</v>
      </c>
      <c r="M66" s="767">
        <v>1350</v>
      </c>
      <c r="N66" s="767">
        <v>1400</v>
      </c>
      <c r="O66" s="664">
        <v>1400</v>
      </c>
      <c r="P66" s="397">
        <f t="shared" si="9"/>
        <v>1350</v>
      </c>
      <c r="Q66" s="736">
        <f t="shared" si="3"/>
        <v>1.8699682598135325</v>
      </c>
    </row>
    <row r="67" spans="1:17" ht="15.75">
      <c r="A67" s="50"/>
      <c r="B67" s="376" t="s">
        <v>38</v>
      </c>
      <c r="C67" s="50" t="s">
        <v>412</v>
      </c>
      <c r="D67" s="424">
        <v>1910</v>
      </c>
      <c r="E67" s="407">
        <v>1910</v>
      </c>
      <c r="F67" s="407">
        <v>2003</v>
      </c>
      <c r="G67" s="407">
        <v>2067</v>
      </c>
      <c r="H67" s="691">
        <v>2190</v>
      </c>
      <c r="I67" s="768">
        <v>2266.192519980844</v>
      </c>
      <c r="J67" s="768">
        <v>2345.0358619256285</v>
      </c>
      <c r="K67" s="768">
        <v>2345.0358619256285</v>
      </c>
      <c r="L67" s="768">
        <v>2426.622250859676</v>
      </c>
      <c r="M67" s="768">
        <v>2511.0471204188475</v>
      </c>
      <c r="N67" s="768">
        <v>2590</v>
      </c>
      <c r="O67" s="675">
        <v>2680</v>
      </c>
      <c r="P67" s="397">
        <f t="shared" si="9"/>
        <v>2510.5410466408302</v>
      </c>
      <c r="Q67" s="736"/>
    </row>
    <row r="68" spans="1:17" ht="15.75">
      <c r="A68" s="50"/>
      <c r="B68" s="376" t="s">
        <v>39</v>
      </c>
      <c r="C68" s="50" t="s">
        <v>412</v>
      </c>
      <c r="D68" s="424">
        <v>3958</v>
      </c>
      <c r="E68" s="407">
        <v>3830</v>
      </c>
      <c r="F68" s="407">
        <v>4398</v>
      </c>
      <c r="G68" s="407">
        <v>4227</v>
      </c>
      <c r="H68" s="693">
        <v>4229</v>
      </c>
      <c r="I68" s="756">
        <v>4371</v>
      </c>
      <c r="J68" s="765">
        <f aca="true" t="shared" si="11" ref="J68:J75">(I68+H68+G68+F68+E68)/5</f>
        <v>4211</v>
      </c>
      <c r="K68" s="756">
        <v>4738.998397095895</v>
      </c>
      <c r="L68" s="756">
        <v>5016.617630750347</v>
      </c>
      <c r="M68" s="756">
        <v>5310.500309216707</v>
      </c>
      <c r="N68" s="756">
        <v>5621.599174974911</v>
      </c>
      <c r="O68" s="675">
        <v>6000</v>
      </c>
      <c r="P68" s="397">
        <f t="shared" si="9"/>
        <v>5337.5431024075715</v>
      </c>
      <c r="Q68" s="736"/>
    </row>
    <row r="69" spans="1:17" ht="15.75">
      <c r="A69" s="50">
        <v>4.2</v>
      </c>
      <c r="B69" s="376" t="s">
        <v>40</v>
      </c>
      <c r="C69" s="50" t="s">
        <v>435</v>
      </c>
      <c r="D69" s="407">
        <f>D70+D73</f>
        <v>40642</v>
      </c>
      <c r="E69" s="407">
        <f aca="true" t="shared" si="12" ref="E69:N69">E70+E73</f>
        <v>43183</v>
      </c>
      <c r="F69" s="407">
        <f t="shared" si="12"/>
        <v>45724</v>
      </c>
      <c r="G69" s="407">
        <f t="shared" si="12"/>
        <v>47593</v>
      </c>
      <c r="H69" s="693">
        <f t="shared" si="12"/>
        <v>50807</v>
      </c>
      <c r="I69" s="408">
        <f t="shared" si="12"/>
        <v>53800</v>
      </c>
      <c r="J69" s="765">
        <f t="shared" si="11"/>
        <v>48221.4</v>
      </c>
      <c r="K69" s="408">
        <f t="shared" si="12"/>
        <v>57143</v>
      </c>
      <c r="L69" s="408">
        <f t="shared" si="12"/>
        <v>60693</v>
      </c>
      <c r="M69" s="408">
        <f t="shared" si="12"/>
        <v>64531</v>
      </c>
      <c r="N69" s="408">
        <f t="shared" si="12"/>
        <v>68683</v>
      </c>
      <c r="O69" s="407">
        <f>O70+O73</f>
        <v>73000</v>
      </c>
      <c r="P69" s="397">
        <f t="shared" si="9"/>
        <v>64810</v>
      </c>
      <c r="Q69" s="736">
        <f t="shared" si="3"/>
        <v>6.313876926606383</v>
      </c>
    </row>
    <row r="70" spans="1:17" ht="15.75">
      <c r="A70" s="50"/>
      <c r="B70" s="376" t="s">
        <v>483</v>
      </c>
      <c r="C70" s="50" t="s">
        <v>435</v>
      </c>
      <c r="D70" s="407">
        <f aca="true" t="shared" si="13" ref="D70:I70">D71+D72</f>
        <v>30750</v>
      </c>
      <c r="E70" s="407">
        <f t="shared" si="13"/>
        <v>32443</v>
      </c>
      <c r="F70" s="407">
        <f t="shared" si="13"/>
        <v>33659</v>
      </c>
      <c r="G70" s="407">
        <f t="shared" si="13"/>
        <v>34384</v>
      </c>
      <c r="H70" s="693">
        <f t="shared" si="13"/>
        <v>35892</v>
      </c>
      <c r="I70" s="408">
        <f t="shared" si="13"/>
        <v>37300</v>
      </c>
      <c r="J70" s="765">
        <f t="shared" si="11"/>
        <v>34735.6</v>
      </c>
      <c r="K70" s="408">
        <f>K71+K72</f>
        <v>38821</v>
      </c>
      <c r="L70" s="408">
        <f>L71+L72</f>
        <v>40383</v>
      </c>
      <c r="M70" s="408">
        <f>M71+M72</f>
        <v>42016</v>
      </c>
      <c r="N70" s="408">
        <f>N71+N72</f>
        <v>43722</v>
      </c>
      <c r="O70" s="407">
        <f>O71+O72</f>
        <v>45500</v>
      </c>
      <c r="P70" s="397">
        <f t="shared" si="9"/>
        <v>42088.4</v>
      </c>
      <c r="Q70" s="736">
        <f t="shared" si="3"/>
        <v>4.048582880490855</v>
      </c>
    </row>
    <row r="71" spans="1:17" s="375" customFormat="1" ht="15.75">
      <c r="A71" s="381"/>
      <c r="B71" s="715" t="s">
        <v>484</v>
      </c>
      <c r="C71" s="381" t="s">
        <v>435</v>
      </c>
      <c r="D71" s="477">
        <v>26649</v>
      </c>
      <c r="E71" s="477">
        <v>28291</v>
      </c>
      <c r="F71" s="477">
        <v>29470</v>
      </c>
      <c r="G71" s="479">
        <v>30374</v>
      </c>
      <c r="H71" s="740">
        <v>31882</v>
      </c>
      <c r="I71" s="769">
        <v>33165</v>
      </c>
      <c r="J71" s="770">
        <f t="shared" si="11"/>
        <v>30636.4</v>
      </c>
      <c r="K71" s="769">
        <v>34679</v>
      </c>
      <c r="L71" s="769">
        <v>36235</v>
      </c>
      <c r="M71" s="769">
        <v>37861</v>
      </c>
      <c r="N71" s="769">
        <v>39560</v>
      </c>
      <c r="O71" s="477">
        <v>41340</v>
      </c>
      <c r="P71" s="673">
        <f t="shared" si="9"/>
        <v>37935</v>
      </c>
      <c r="Q71" s="736">
        <f t="shared" si="3"/>
        <v>4.490300137213026</v>
      </c>
    </row>
    <row r="72" spans="1:17" s="375" customFormat="1" ht="15.75">
      <c r="A72" s="381"/>
      <c r="B72" s="715" t="s">
        <v>485</v>
      </c>
      <c r="C72" s="381" t="s">
        <v>435</v>
      </c>
      <c r="D72" s="481">
        <v>4101</v>
      </c>
      <c r="E72" s="479">
        <v>4152</v>
      </c>
      <c r="F72" s="479">
        <v>4189</v>
      </c>
      <c r="G72" s="479">
        <v>4010</v>
      </c>
      <c r="H72" s="740">
        <v>4010</v>
      </c>
      <c r="I72" s="769">
        <v>4135</v>
      </c>
      <c r="J72" s="770">
        <f t="shared" si="11"/>
        <v>4099.2</v>
      </c>
      <c r="K72" s="769">
        <v>4142</v>
      </c>
      <c r="L72" s="769">
        <v>4148</v>
      </c>
      <c r="M72" s="769">
        <v>4155</v>
      </c>
      <c r="N72" s="769">
        <v>4162</v>
      </c>
      <c r="O72" s="477">
        <v>4160</v>
      </c>
      <c r="P72" s="673">
        <f t="shared" si="9"/>
        <v>4153.4</v>
      </c>
      <c r="Q72" s="736"/>
    </row>
    <row r="73" spans="1:17" ht="15.75">
      <c r="A73" s="50"/>
      <c r="B73" s="376" t="s">
        <v>44</v>
      </c>
      <c r="C73" s="50" t="s">
        <v>435</v>
      </c>
      <c r="D73" s="471">
        <v>9892</v>
      </c>
      <c r="E73" s="392">
        <v>10740</v>
      </c>
      <c r="F73" s="392">
        <v>12065</v>
      </c>
      <c r="G73" s="392">
        <v>13209</v>
      </c>
      <c r="H73" s="691">
        <v>14915</v>
      </c>
      <c r="I73" s="756">
        <v>16500</v>
      </c>
      <c r="J73" s="765">
        <f t="shared" si="11"/>
        <v>13485.8</v>
      </c>
      <c r="K73" s="756">
        <v>18322</v>
      </c>
      <c r="L73" s="756">
        <v>20310</v>
      </c>
      <c r="M73" s="756">
        <v>22515</v>
      </c>
      <c r="N73" s="756">
        <v>24961</v>
      </c>
      <c r="O73" s="455">
        <v>27500</v>
      </c>
      <c r="P73" s="397">
        <f t="shared" si="9"/>
        <v>22721.6</v>
      </c>
      <c r="Q73" s="736">
        <f t="shared" si="3"/>
        <v>10.685301847209246</v>
      </c>
    </row>
    <row r="74" spans="1:17" s="375" customFormat="1" ht="15.75">
      <c r="A74" s="381"/>
      <c r="B74" s="715" t="s">
        <v>45</v>
      </c>
      <c r="C74" s="381" t="s">
        <v>435</v>
      </c>
      <c r="D74" s="672">
        <v>4431</v>
      </c>
      <c r="E74" s="672">
        <v>4616</v>
      </c>
      <c r="F74" s="672">
        <v>5099</v>
      </c>
      <c r="G74" s="672">
        <v>5413</v>
      </c>
      <c r="H74" s="694">
        <v>6882</v>
      </c>
      <c r="I74" s="771">
        <v>10500</v>
      </c>
      <c r="J74" s="770">
        <f t="shared" si="11"/>
        <v>6502</v>
      </c>
      <c r="K74" s="771">
        <v>13000</v>
      </c>
      <c r="L74" s="771">
        <v>13000</v>
      </c>
      <c r="M74" s="771">
        <v>14500</v>
      </c>
      <c r="N74" s="771">
        <v>16000</v>
      </c>
      <c r="O74" s="741">
        <v>18000</v>
      </c>
      <c r="P74" s="673">
        <f t="shared" si="9"/>
        <v>14900</v>
      </c>
      <c r="Q74" s="736">
        <f t="shared" si="3"/>
        <v>8.475656754366057</v>
      </c>
    </row>
    <row r="75" spans="1:17" ht="15.75">
      <c r="A75" s="50">
        <v>4.3</v>
      </c>
      <c r="B75" s="376" t="s">
        <v>46</v>
      </c>
      <c r="C75" s="50" t="s">
        <v>419</v>
      </c>
      <c r="D75" s="400">
        <f>D76+D79</f>
        <v>310</v>
      </c>
      <c r="E75" s="400">
        <f aca="true" t="shared" si="14" ref="E75:O75">E76+E79</f>
        <v>220.6</v>
      </c>
      <c r="F75" s="400">
        <f t="shared" si="14"/>
        <v>153.2</v>
      </c>
      <c r="G75" s="400">
        <f t="shared" si="14"/>
        <v>215.6</v>
      </c>
      <c r="H75" s="695">
        <f t="shared" si="14"/>
        <v>176.5</v>
      </c>
      <c r="I75" s="372">
        <f t="shared" si="14"/>
        <v>310</v>
      </c>
      <c r="J75" s="772">
        <f t="shared" si="11"/>
        <v>215.17999999999998</v>
      </c>
      <c r="K75" s="372">
        <f t="shared" si="14"/>
        <v>345</v>
      </c>
      <c r="L75" s="372">
        <f t="shared" si="14"/>
        <v>390</v>
      </c>
      <c r="M75" s="372">
        <f t="shared" si="14"/>
        <v>455</v>
      </c>
      <c r="N75" s="372">
        <f t="shared" si="14"/>
        <v>535</v>
      </c>
      <c r="O75" s="400">
        <f t="shared" si="14"/>
        <v>650</v>
      </c>
      <c r="P75" s="397">
        <f t="shared" si="9"/>
        <v>475</v>
      </c>
      <c r="Q75" s="736">
        <f t="shared" si="3"/>
        <v>17.158435982215664</v>
      </c>
    </row>
    <row r="76" spans="1:17" ht="15.75">
      <c r="A76" s="50"/>
      <c r="B76" s="384" t="s">
        <v>47</v>
      </c>
      <c r="C76" s="50" t="s">
        <v>419</v>
      </c>
      <c r="D76" s="400">
        <f>D77+D78</f>
        <v>275</v>
      </c>
      <c r="E76" s="400">
        <f aca="true" t="shared" si="15" ref="E76:O76">E77+E78</f>
        <v>175</v>
      </c>
      <c r="F76" s="400">
        <f t="shared" si="15"/>
        <v>103.5</v>
      </c>
      <c r="G76" s="400">
        <f t="shared" si="15"/>
        <v>150</v>
      </c>
      <c r="H76" s="695">
        <f t="shared" si="15"/>
        <v>80</v>
      </c>
      <c r="I76" s="372">
        <f t="shared" si="15"/>
        <v>190</v>
      </c>
      <c r="J76" s="755">
        <f aca="true" t="shared" si="16" ref="J76:J85">I76-D76</f>
        <v>-85</v>
      </c>
      <c r="K76" s="372">
        <f t="shared" si="15"/>
        <v>265</v>
      </c>
      <c r="L76" s="372">
        <f t="shared" si="15"/>
        <v>315</v>
      </c>
      <c r="M76" s="372">
        <f t="shared" si="15"/>
        <v>385</v>
      </c>
      <c r="N76" s="372">
        <f t="shared" si="15"/>
        <v>465</v>
      </c>
      <c r="O76" s="400">
        <f t="shared" si="15"/>
        <v>565</v>
      </c>
      <c r="P76" s="397">
        <f t="shared" si="9"/>
        <v>399</v>
      </c>
      <c r="Q76" s="736">
        <f t="shared" si="3"/>
        <v>20.837197240503173</v>
      </c>
    </row>
    <row r="77" spans="1:17" s="375" customFormat="1" ht="15.75">
      <c r="A77" s="381"/>
      <c r="B77" s="726" t="s">
        <v>48</v>
      </c>
      <c r="C77" s="381" t="s">
        <v>419</v>
      </c>
      <c r="D77" s="665">
        <v>270</v>
      </c>
      <c r="E77" s="666">
        <v>165</v>
      </c>
      <c r="F77" s="665">
        <v>81.5</v>
      </c>
      <c r="G77" s="666">
        <v>125</v>
      </c>
      <c r="H77" s="696">
        <v>35</v>
      </c>
      <c r="I77" s="767">
        <v>15</v>
      </c>
      <c r="J77" s="755">
        <f t="shared" si="16"/>
        <v>-255</v>
      </c>
      <c r="K77" s="767">
        <v>15</v>
      </c>
      <c r="L77" s="767">
        <v>15</v>
      </c>
      <c r="M77" s="767">
        <v>15</v>
      </c>
      <c r="N77" s="767">
        <v>15</v>
      </c>
      <c r="O77" s="664">
        <v>15</v>
      </c>
      <c r="P77" s="397">
        <f t="shared" si="9"/>
        <v>15</v>
      </c>
      <c r="Q77" s="736"/>
    </row>
    <row r="78" spans="1:17" s="375" customFormat="1" ht="15.75">
      <c r="A78" s="381"/>
      <c r="B78" s="715" t="s">
        <v>482</v>
      </c>
      <c r="C78" s="381" t="s">
        <v>419</v>
      </c>
      <c r="D78" s="665">
        <v>5</v>
      </c>
      <c r="E78" s="666">
        <v>10</v>
      </c>
      <c r="F78" s="665">
        <v>22</v>
      </c>
      <c r="G78" s="666">
        <v>25</v>
      </c>
      <c r="H78" s="696">
        <v>45</v>
      </c>
      <c r="I78" s="767">
        <v>175</v>
      </c>
      <c r="J78" s="755">
        <f t="shared" si="16"/>
        <v>170</v>
      </c>
      <c r="K78" s="767">
        <v>250</v>
      </c>
      <c r="L78" s="767">
        <v>300</v>
      </c>
      <c r="M78" s="767">
        <v>370</v>
      </c>
      <c r="N78" s="767">
        <v>450</v>
      </c>
      <c r="O78" s="664">
        <v>550</v>
      </c>
      <c r="P78" s="397">
        <f t="shared" si="9"/>
        <v>384</v>
      </c>
      <c r="Q78" s="736">
        <f t="shared" si="3"/>
        <v>21.788328563090673</v>
      </c>
    </row>
    <row r="79" spans="1:17" ht="18.75" customHeight="1">
      <c r="A79" s="50"/>
      <c r="B79" s="384" t="s">
        <v>49</v>
      </c>
      <c r="C79" s="50" t="s">
        <v>419</v>
      </c>
      <c r="D79" s="400">
        <v>35</v>
      </c>
      <c r="E79" s="667">
        <v>45.6</v>
      </c>
      <c r="F79" s="667">
        <v>49.7</v>
      </c>
      <c r="G79" s="667">
        <v>65.6</v>
      </c>
      <c r="H79" s="697">
        <v>96.5</v>
      </c>
      <c r="I79" s="773">
        <v>120</v>
      </c>
      <c r="J79" s="755">
        <f t="shared" si="16"/>
        <v>85</v>
      </c>
      <c r="K79" s="763">
        <v>80</v>
      </c>
      <c r="L79" s="763">
        <v>75</v>
      </c>
      <c r="M79" s="763">
        <v>70</v>
      </c>
      <c r="N79" s="763">
        <v>70</v>
      </c>
      <c r="O79" s="471">
        <v>85</v>
      </c>
      <c r="P79" s="397">
        <f t="shared" si="9"/>
        <v>76</v>
      </c>
      <c r="Q79" s="736">
        <f t="shared" si="3"/>
        <v>1.5271592434465333</v>
      </c>
    </row>
    <row r="80" spans="1:17" ht="15.75">
      <c r="A80" s="50">
        <v>4.4</v>
      </c>
      <c r="B80" s="376" t="s">
        <v>50</v>
      </c>
      <c r="C80" s="50" t="s">
        <v>435</v>
      </c>
      <c r="D80" s="407">
        <v>1288</v>
      </c>
      <c r="E80" s="407">
        <v>1469</v>
      </c>
      <c r="F80" s="407">
        <v>2118</v>
      </c>
      <c r="G80" s="407">
        <v>2750</v>
      </c>
      <c r="H80" s="693">
        <v>3540</v>
      </c>
      <c r="I80" s="408">
        <v>4200</v>
      </c>
      <c r="J80" s="755">
        <f t="shared" si="16"/>
        <v>2912</v>
      </c>
      <c r="K80" s="408">
        <v>5867</v>
      </c>
      <c r="L80" s="408">
        <v>7553</v>
      </c>
      <c r="M80" s="408">
        <v>9723</v>
      </c>
      <c r="N80" s="408">
        <v>12517</v>
      </c>
      <c r="O80" s="407">
        <v>16100</v>
      </c>
      <c r="P80" s="397">
        <f t="shared" si="9"/>
        <v>10352</v>
      </c>
      <c r="Q80" s="736">
        <f aca="true" t="shared" si="17" ref="Q80:Q85">(O80/K80)^0.25*100-100</f>
        <v>28.707082800120105</v>
      </c>
    </row>
    <row r="81" spans="1:17" ht="23.25" customHeight="1">
      <c r="A81" s="50">
        <v>4.5</v>
      </c>
      <c r="B81" s="376" t="s">
        <v>51</v>
      </c>
      <c r="C81" s="50" t="s">
        <v>436</v>
      </c>
      <c r="D81" s="668">
        <v>7.811</v>
      </c>
      <c r="E81" s="668">
        <v>16.087</v>
      </c>
      <c r="F81" s="668">
        <v>16.752</v>
      </c>
      <c r="G81" s="668">
        <v>14.175</v>
      </c>
      <c r="H81" s="698">
        <v>18.182</v>
      </c>
      <c r="I81" s="774">
        <v>20.968</v>
      </c>
      <c r="J81" s="755">
        <f t="shared" si="16"/>
        <v>13.157</v>
      </c>
      <c r="K81" s="774">
        <v>24.557</v>
      </c>
      <c r="L81" s="774">
        <v>29.176</v>
      </c>
      <c r="M81" s="774">
        <v>35.121</v>
      </c>
      <c r="N81" s="774">
        <v>42.776</v>
      </c>
      <c r="O81" s="668">
        <v>52.63</v>
      </c>
      <c r="P81" s="397">
        <f t="shared" si="9"/>
        <v>36.852</v>
      </c>
      <c r="Q81" s="736">
        <f t="shared" si="17"/>
        <v>20.994189566756233</v>
      </c>
    </row>
    <row r="82" spans="1:17" ht="31.5">
      <c r="A82" s="50">
        <v>4.6</v>
      </c>
      <c r="B82" s="376" t="s">
        <v>52</v>
      </c>
      <c r="C82" s="50" t="s">
        <v>406</v>
      </c>
      <c r="D82" s="669">
        <v>105.6</v>
      </c>
      <c r="E82" s="670">
        <v>102.2</v>
      </c>
      <c r="F82" s="670">
        <v>136.2</v>
      </c>
      <c r="G82" s="670">
        <v>159.9</v>
      </c>
      <c r="H82" s="699">
        <v>207.78861788617886</v>
      </c>
      <c r="I82" s="762">
        <f>H82*1.03</f>
        <v>214.02227642276424</v>
      </c>
      <c r="J82" s="775">
        <f t="shared" si="16"/>
        <v>108.42227642276424</v>
      </c>
      <c r="K82" s="762">
        <f>I82*1.03</f>
        <v>220.44294471544717</v>
      </c>
      <c r="L82" s="762">
        <f>K82*1.03</f>
        <v>227.0562330569106</v>
      </c>
      <c r="M82" s="762">
        <f>L82*1.03</f>
        <v>233.86792004861792</v>
      </c>
      <c r="N82" s="762">
        <f>M82*1.03</f>
        <v>240.88395765007647</v>
      </c>
      <c r="O82" s="410">
        <f>N82*1.03</f>
        <v>248.11047637957876</v>
      </c>
      <c r="P82" s="446">
        <f t="shared" si="9"/>
        <v>234.07230637012617</v>
      </c>
      <c r="Q82" s="736">
        <f t="shared" si="17"/>
        <v>3</v>
      </c>
    </row>
    <row r="83" spans="1:17" ht="15.75">
      <c r="A83" s="50">
        <v>4.7</v>
      </c>
      <c r="B83" s="376" t="s">
        <v>53</v>
      </c>
      <c r="C83" s="50" t="s">
        <v>438</v>
      </c>
      <c r="D83" s="373">
        <v>2039</v>
      </c>
      <c r="E83" s="373">
        <v>2055</v>
      </c>
      <c r="F83" s="373">
        <v>2072</v>
      </c>
      <c r="G83" s="373">
        <v>2054</v>
      </c>
      <c r="H83" s="684">
        <v>2220</v>
      </c>
      <c r="I83" s="408">
        <v>2047</v>
      </c>
      <c r="J83" s="755">
        <f t="shared" si="16"/>
        <v>8</v>
      </c>
      <c r="K83" s="408">
        <v>2052</v>
      </c>
      <c r="L83" s="408">
        <v>2065</v>
      </c>
      <c r="M83" s="408">
        <v>2086</v>
      </c>
      <c r="N83" s="408">
        <v>2117</v>
      </c>
      <c r="O83" s="407">
        <v>2160</v>
      </c>
      <c r="P83" s="397">
        <f t="shared" si="9"/>
        <v>2096</v>
      </c>
      <c r="Q83" s="736">
        <f t="shared" si="17"/>
        <v>1.2905894979960095</v>
      </c>
    </row>
    <row r="84" spans="1:17" ht="19.5" customHeight="1">
      <c r="A84" s="50"/>
      <c r="B84" s="384" t="s">
        <v>54</v>
      </c>
      <c r="C84" s="50" t="s">
        <v>438</v>
      </c>
      <c r="D84" s="400">
        <v>172</v>
      </c>
      <c r="E84" s="392">
        <v>189</v>
      </c>
      <c r="F84" s="392">
        <v>224</v>
      </c>
      <c r="G84" s="392">
        <v>245</v>
      </c>
      <c r="H84" s="684">
        <v>275</v>
      </c>
      <c r="I84" s="408">
        <v>330</v>
      </c>
      <c r="J84" s="755">
        <f t="shared" si="16"/>
        <v>158</v>
      </c>
      <c r="K84" s="408">
        <v>362</v>
      </c>
      <c r="L84" s="408">
        <v>410</v>
      </c>
      <c r="M84" s="408">
        <v>464</v>
      </c>
      <c r="N84" s="408">
        <v>526</v>
      </c>
      <c r="O84" s="407">
        <v>600</v>
      </c>
      <c r="P84" s="397">
        <f t="shared" si="9"/>
        <v>472.4</v>
      </c>
      <c r="Q84" s="736">
        <f t="shared" si="17"/>
        <v>13.464674073855406</v>
      </c>
    </row>
    <row r="85" spans="1:17" ht="18.75" customHeight="1">
      <c r="A85" s="50"/>
      <c r="B85" s="376" t="s">
        <v>55</v>
      </c>
      <c r="C85" s="50" t="s">
        <v>56</v>
      </c>
      <c r="D85" s="50"/>
      <c r="E85" s="373">
        <v>69217</v>
      </c>
      <c r="F85" s="373">
        <v>75863</v>
      </c>
      <c r="G85" s="373">
        <v>80767</v>
      </c>
      <c r="H85" s="684">
        <v>92822</v>
      </c>
      <c r="I85" s="408">
        <v>124718</v>
      </c>
      <c r="J85" s="755">
        <f t="shared" si="16"/>
        <v>124718</v>
      </c>
      <c r="K85" s="408">
        <v>135120</v>
      </c>
      <c r="L85" s="408">
        <v>146970</v>
      </c>
      <c r="M85" s="408">
        <v>160448</v>
      </c>
      <c r="N85" s="408">
        <v>175765</v>
      </c>
      <c r="O85" s="407">
        <v>193200</v>
      </c>
      <c r="P85" s="397">
        <f t="shared" si="9"/>
        <v>162300.6</v>
      </c>
      <c r="Q85" s="736">
        <f t="shared" si="17"/>
        <v>9.350776517340421</v>
      </c>
    </row>
    <row r="86" spans="1:17" s="363" customFormat="1" ht="15.75">
      <c r="A86" s="379">
        <v>5</v>
      </c>
      <c r="B86" s="380" t="s">
        <v>410</v>
      </c>
      <c r="C86" s="379"/>
      <c r="D86" s="379"/>
      <c r="E86" s="396"/>
      <c r="F86" s="396"/>
      <c r="G86" s="396"/>
      <c r="H86" s="685"/>
      <c r="I86" s="746"/>
      <c r="J86" s="755"/>
      <c r="K86" s="746"/>
      <c r="L86" s="746"/>
      <c r="M86" s="746"/>
      <c r="N86" s="746"/>
      <c r="O86" s="411"/>
      <c r="P86" s="397">
        <f t="shared" si="9"/>
        <v>0</v>
      </c>
      <c r="Q86" s="736"/>
    </row>
    <row r="87" spans="1:21" ht="15.75">
      <c r="A87" s="50">
        <v>5.1</v>
      </c>
      <c r="B87" s="376" t="s">
        <v>57</v>
      </c>
      <c r="C87" s="50" t="s">
        <v>412</v>
      </c>
      <c r="D87" s="463">
        <v>294651.05</v>
      </c>
      <c r="E87" s="373">
        <v>294665.98</v>
      </c>
      <c r="F87" s="373">
        <v>294947.1</v>
      </c>
      <c r="G87" s="373">
        <v>296075.84</v>
      </c>
      <c r="H87" s="684">
        <v>296724.39</v>
      </c>
      <c r="I87" s="408">
        <v>297524.39</v>
      </c>
      <c r="J87" s="755">
        <f>I87</f>
        <v>297524.39</v>
      </c>
      <c r="K87" s="408">
        <v>299324</v>
      </c>
      <c r="L87" s="408">
        <v>301224</v>
      </c>
      <c r="M87" s="408">
        <v>303324</v>
      </c>
      <c r="N87" s="408">
        <v>305424</v>
      </c>
      <c r="O87" s="407">
        <v>293250</v>
      </c>
      <c r="P87" s="506">
        <f>O87</f>
        <v>293250</v>
      </c>
      <c r="Q87" s="736"/>
      <c r="S87" s="785"/>
      <c r="T87" s="785"/>
      <c r="U87" s="785"/>
    </row>
    <row r="88" spans="1:17" ht="15.75">
      <c r="A88" s="50">
        <v>5.2</v>
      </c>
      <c r="B88" s="376" t="s">
        <v>58</v>
      </c>
      <c r="C88" s="50" t="s">
        <v>412</v>
      </c>
      <c r="D88" s="463">
        <v>294651.05</v>
      </c>
      <c r="E88" s="373">
        <v>294665.98</v>
      </c>
      <c r="F88" s="373">
        <v>294947.1</v>
      </c>
      <c r="G88" s="373">
        <v>296075.84</v>
      </c>
      <c r="H88" s="684">
        <v>296724.39</v>
      </c>
      <c r="I88" s="408">
        <v>297524.39</v>
      </c>
      <c r="J88" s="755">
        <f>I88</f>
        <v>297524.39</v>
      </c>
      <c r="K88" s="408">
        <v>299324</v>
      </c>
      <c r="L88" s="408">
        <v>301224</v>
      </c>
      <c r="M88" s="408">
        <v>303324</v>
      </c>
      <c r="N88" s="408">
        <v>305424</v>
      </c>
      <c r="O88" s="407">
        <v>293250</v>
      </c>
      <c r="P88" s="506">
        <f>O88</f>
        <v>293250</v>
      </c>
      <c r="Q88" s="736"/>
    </row>
    <row r="89" spans="1:17" ht="15.75">
      <c r="A89" s="50"/>
      <c r="B89" s="382" t="s">
        <v>449</v>
      </c>
      <c r="C89" s="50" t="s">
        <v>412</v>
      </c>
      <c r="D89" s="392">
        <v>6.83</v>
      </c>
      <c r="E89" s="392">
        <v>6.83</v>
      </c>
      <c r="F89" s="392">
        <v>6.83</v>
      </c>
      <c r="G89" s="392">
        <v>18.39</v>
      </c>
      <c r="H89" s="700">
        <v>18.39</v>
      </c>
      <c r="I89" s="408">
        <v>55.39</v>
      </c>
      <c r="J89" s="755">
        <f>I89</f>
        <v>55.39</v>
      </c>
      <c r="K89" s="408">
        <v>127.39</v>
      </c>
      <c r="L89" s="408">
        <f>K89+72</f>
        <v>199.39</v>
      </c>
      <c r="M89" s="408">
        <f>L89+72</f>
        <v>271.39</v>
      </c>
      <c r="N89" s="408">
        <f>M89+72</f>
        <v>343.39</v>
      </c>
      <c r="O89" s="407">
        <f>N89+72</f>
        <v>415.39</v>
      </c>
      <c r="P89" s="506">
        <f>O89</f>
        <v>415.39</v>
      </c>
      <c r="Q89" s="736">
        <f>(O89/K89)^0.25*100-100</f>
        <v>34.37861941493733</v>
      </c>
    </row>
    <row r="90" spans="1:17" ht="15.75">
      <c r="A90" s="50">
        <v>5.3</v>
      </c>
      <c r="B90" s="376" t="s">
        <v>59</v>
      </c>
      <c r="C90" s="50" t="s">
        <v>412</v>
      </c>
      <c r="D90" s="392">
        <f aca="true" t="shared" si="18" ref="D90:I90">D92+D93</f>
        <v>4036</v>
      </c>
      <c r="E90" s="392">
        <f t="shared" si="18"/>
        <v>4068</v>
      </c>
      <c r="F90" s="392">
        <f t="shared" si="18"/>
        <v>4225</v>
      </c>
      <c r="G90" s="392">
        <f t="shared" si="18"/>
        <v>4286</v>
      </c>
      <c r="H90" s="700">
        <f t="shared" si="18"/>
        <v>5300</v>
      </c>
      <c r="I90" s="408">
        <f t="shared" si="18"/>
        <v>4200</v>
      </c>
      <c r="J90" s="755">
        <f>SUM(E90:I90)</f>
        <v>22079</v>
      </c>
      <c r="K90" s="408">
        <v>4000</v>
      </c>
      <c r="L90" s="408">
        <v>4000</v>
      </c>
      <c r="M90" s="408">
        <v>4000</v>
      </c>
      <c r="N90" s="408">
        <v>4000</v>
      </c>
      <c r="O90" s="407">
        <v>4000</v>
      </c>
      <c r="P90" s="397">
        <f aca="true" t="shared" si="19" ref="P90:P97">SUM(K90:O90)</f>
        <v>20000</v>
      </c>
      <c r="Q90" s="736"/>
    </row>
    <row r="91" spans="1:17" ht="15.75">
      <c r="A91" s="50"/>
      <c r="B91" s="382" t="s">
        <v>450</v>
      </c>
      <c r="C91" s="50" t="s">
        <v>412</v>
      </c>
      <c r="D91" s="413"/>
      <c r="E91" s="414"/>
      <c r="F91" s="414"/>
      <c r="G91" s="414"/>
      <c r="H91" s="701"/>
      <c r="I91" s="498"/>
      <c r="J91" s="772"/>
      <c r="K91" s="498"/>
      <c r="L91" s="498"/>
      <c r="M91" s="498"/>
      <c r="N91" s="498"/>
      <c r="O91" s="478"/>
      <c r="P91" s="397">
        <f t="shared" si="19"/>
        <v>0</v>
      </c>
      <c r="Q91" s="736"/>
    </row>
    <row r="92" spans="1:17" ht="15.75">
      <c r="A92" s="50"/>
      <c r="B92" s="376" t="s">
        <v>443</v>
      </c>
      <c r="C92" s="50" t="s">
        <v>412</v>
      </c>
      <c r="D92" s="374">
        <v>865</v>
      </c>
      <c r="E92" s="374">
        <v>232</v>
      </c>
      <c r="F92" s="374">
        <v>256</v>
      </c>
      <c r="G92" s="374">
        <v>210</v>
      </c>
      <c r="H92" s="689">
        <v>950</v>
      </c>
      <c r="I92" s="754">
        <v>1000</v>
      </c>
      <c r="J92" s="765">
        <f aca="true" t="shared" si="20" ref="J92:J97">SUM(E92:I92)</f>
        <v>2648</v>
      </c>
      <c r="K92" s="754">
        <v>800</v>
      </c>
      <c r="L92" s="754">
        <v>800</v>
      </c>
      <c r="M92" s="754">
        <v>850</v>
      </c>
      <c r="N92" s="754">
        <v>900</v>
      </c>
      <c r="O92" s="424">
        <v>900</v>
      </c>
      <c r="P92" s="397">
        <f t="shared" si="19"/>
        <v>4250</v>
      </c>
      <c r="Q92" s="736">
        <f>(O92/K92)^0.25*100-100</f>
        <v>2.9883571953558885</v>
      </c>
    </row>
    <row r="93" spans="1:17" ht="15.75">
      <c r="A93" s="50"/>
      <c r="B93" s="376" t="s">
        <v>60</v>
      </c>
      <c r="C93" s="50" t="s">
        <v>412</v>
      </c>
      <c r="D93" s="374">
        <v>3171</v>
      </c>
      <c r="E93" s="374">
        <v>3836</v>
      </c>
      <c r="F93" s="374">
        <v>3969</v>
      </c>
      <c r="G93" s="374">
        <v>4076</v>
      </c>
      <c r="H93" s="689">
        <v>4350</v>
      </c>
      <c r="I93" s="754">
        <v>3200</v>
      </c>
      <c r="J93" s="765">
        <f t="shared" si="20"/>
        <v>19431</v>
      </c>
      <c r="K93" s="754">
        <v>3200</v>
      </c>
      <c r="L93" s="754">
        <v>3200</v>
      </c>
      <c r="M93" s="754">
        <v>3150</v>
      </c>
      <c r="N93" s="754">
        <v>3100</v>
      </c>
      <c r="O93" s="424">
        <v>3300</v>
      </c>
      <c r="P93" s="397">
        <f t="shared" si="19"/>
        <v>15950</v>
      </c>
      <c r="Q93" s="736">
        <f>(O93/K93)^0.25*100-100</f>
        <v>0.7722581159862187</v>
      </c>
    </row>
    <row r="94" spans="1:17" ht="15.75">
      <c r="A94" s="50">
        <v>5.4</v>
      </c>
      <c r="B94" s="376" t="s">
        <v>61</v>
      </c>
      <c r="C94" s="50" t="s">
        <v>62</v>
      </c>
      <c r="D94" s="374">
        <v>1000</v>
      </c>
      <c r="E94" s="374">
        <v>1000</v>
      </c>
      <c r="F94" s="374">
        <v>1000</v>
      </c>
      <c r="G94" s="374">
        <v>1000</v>
      </c>
      <c r="H94" s="689">
        <v>1000</v>
      </c>
      <c r="I94" s="754">
        <v>1000</v>
      </c>
      <c r="J94" s="755">
        <f t="shared" si="20"/>
        <v>5000</v>
      </c>
      <c r="K94" s="754">
        <v>1000</v>
      </c>
      <c r="L94" s="754">
        <v>1000</v>
      </c>
      <c r="M94" s="754">
        <v>1000</v>
      </c>
      <c r="N94" s="754">
        <v>1000</v>
      </c>
      <c r="O94" s="424">
        <v>1000</v>
      </c>
      <c r="P94" s="397">
        <f t="shared" si="19"/>
        <v>5000</v>
      </c>
      <c r="Q94" s="736"/>
    </row>
    <row r="95" spans="1:17" ht="15.75">
      <c r="A95" s="50">
        <v>5.5</v>
      </c>
      <c r="B95" s="376" t="s">
        <v>63</v>
      </c>
      <c r="C95" s="50" t="s">
        <v>412</v>
      </c>
      <c r="D95" s="449">
        <v>14196</v>
      </c>
      <c r="E95" s="449">
        <v>14392</v>
      </c>
      <c r="F95" s="449">
        <v>15000</v>
      </c>
      <c r="G95" s="449">
        <v>15031</v>
      </c>
      <c r="H95" s="702">
        <v>8900</v>
      </c>
      <c r="I95" s="756">
        <v>13100</v>
      </c>
      <c r="J95" s="748">
        <f t="shared" si="20"/>
        <v>66423</v>
      </c>
      <c r="K95" s="756">
        <v>13200</v>
      </c>
      <c r="L95" s="756">
        <v>13180</v>
      </c>
      <c r="M95" s="756">
        <v>12880</v>
      </c>
      <c r="N95" s="756">
        <v>12680</v>
      </c>
      <c r="O95" s="455">
        <v>12680</v>
      </c>
      <c r="P95" s="397">
        <f t="shared" si="19"/>
        <v>64620</v>
      </c>
      <c r="Q95" s="736"/>
    </row>
    <row r="96" spans="1:17" ht="15.75">
      <c r="A96" s="50">
        <v>5.6</v>
      </c>
      <c r="B96" s="376" t="s">
        <v>420</v>
      </c>
      <c r="C96" s="50" t="s">
        <v>412</v>
      </c>
      <c r="D96" s="449">
        <v>5816.4</v>
      </c>
      <c r="E96" s="449">
        <v>5165</v>
      </c>
      <c r="F96" s="449">
        <v>4374.1</v>
      </c>
      <c r="G96" s="449">
        <v>3580</v>
      </c>
      <c r="H96" s="702">
        <v>2710.7</v>
      </c>
      <c r="I96" s="756">
        <v>1075.5</v>
      </c>
      <c r="J96" s="748">
        <f t="shared" si="20"/>
        <v>16905.3</v>
      </c>
      <c r="K96" s="756">
        <v>3000</v>
      </c>
      <c r="L96" s="756">
        <v>3000</v>
      </c>
      <c r="M96" s="756">
        <v>3000</v>
      </c>
      <c r="N96" s="756">
        <v>3000</v>
      </c>
      <c r="O96" s="455">
        <v>3000</v>
      </c>
      <c r="P96" s="397">
        <f t="shared" si="19"/>
        <v>15000</v>
      </c>
      <c r="Q96" s="736"/>
    </row>
    <row r="97" spans="1:17" ht="15.75">
      <c r="A97" s="50">
        <v>5.7</v>
      </c>
      <c r="B97" s="376" t="s">
        <v>64</v>
      </c>
      <c r="C97" s="50" t="s">
        <v>412</v>
      </c>
      <c r="D97" s="449">
        <v>294651.05</v>
      </c>
      <c r="E97" s="449">
        <v>294665.98</v>
      </c>
      <c r="F97" s="449">
        <v>294947.1</v>
      </c>
      <c r="G97" s="449">
        <v>296075.84</v>
      </c>
      <c r="H97" s="702">
        <v>296724.39</v>
      </c>
      <c r="I97" s="756">
        <v>297524.39</v>
      </c>
      <c r="J97" s="748">
        <f t="shared" si="20"/>
        <v>1479937.7000000002</v>
      </c>
      <c r="K97" s="776">
        <v>299324</v>
      </c>
      <c r="L97" s="408">
        <v>301224</v>
      </c>
      <c r="M97" s="408">
        <v>303324</v>
      </c>
      <c r="N97" s="408">
        <v>305424</v>
      </c>
      <c r="O97" s="407">
        <v>293250</v>
      </c>
      <c r="P97" s="506">
        <f t="shared" si="19"/>
        <v>1502546</v>
      </c>
      <c r="Q97" s="736"/>
    </row>
    <row r="98" spans="1:17" ht="15.75">
      <c r="A98" s="50">
        <v>5.9</v>
      </c>
      <c r="B98" s="376" t="s">
        <v>66</v>
      </c>
      <c r="C98" s="50" t="s">
        <v>412</v>
      </c>
      <c r="D98" s="392">
        <v>71082.76</v>
      </c>
      <c r="E98" s="392">
        <v>71082.76</v>
      </c>
      <c r="F98" s="392">
        <v>71082.76</v>
      </c>
      <c r="G98" s="392">
        <v>71082.76</v>
      </c>
      <c r="H98" s="700">
        <v>71082.76</v>
      </c>
      <c r="I98" s="408">
        <v>71082.76</v>
      </c>
      <c r="J98" s="755">
        <f>I98</f>
        <v>71082.76</v>
      </c>
      <c r="K98" s="408">
        <v>71082.76</v>
      </c>
      <c r="L98" s="408">
        <v>71082.76</v>
      </c>
      <c r="M98" s="408">
        <v>71082.76</v>
      </c>
      <c r="N98" s="408">
        <v>71082.76</v>
      </c>
      <c r="O98" s="407">
        <v>71082.76</v>
      </c>
      <c r="P98" s="397">
        <f aca="true" t="shared" si="21" ref="P98:P103">(K98+L98+M98+N98+O98)/5</f>
        <v>71082.76</v>
      </c>
      <c r="Q98" s="736"/>
    </row>
    <row r="99" spans="1:17" ht="21" customHeight="1">
      <c r="A99" s="50"/>
      <c r="B99" s="376" t="s">
        <v>67</v>
      </c>
      <c r="C99" s="50" t="s">
        <v>412</v>
      </c>
      <c r="D99" s="392">
        <v>71082.76</v>
      </c>
      <c r="E99" s="392">
        <v>71082.76</v>
      </c>
      <c r="F99" s="392">
        <v>71082.76</v>
      </c>
      <c r="G99" s="392">
        <v>71082.76</v>
      </c>
      <c r="H99" s="700">
        <v>71082.76</v>
      </c>
      <c r="I99" s="408">
        <v>71082.76</v>
      </c>
      <c r="J99" s="755">
        <f>I99</f>
        <v>71082.76</v>
      </c>
      <c r="K99" s="408">
        <v>71082.76</v>
      </c>
      <c r="L99" s="408">
        <v>71082.76</v>
      </c>
      <c r="M99" s="408">
        <v>71082.76</v>
      </c>
      <c r="N99" s="408">
        <v>71082.76</v>
      </c>
      <c r="O99" s="407">
        <v>71082.76</v>
      </c>
      <c r="P99" s="397">
        <f t="shared" si="21"/>
        <v>71082.76</v>
      </c>
      <c r="Q99" s="736"/>
    </row>
    <row r="100" spans="1:17" ht="19.5" customHeight="1">
      <c r="A100" s="383" t="s">
        <v>68</v>
      </c>
      <c r="B100" s="376" t="s">
        <v>69</v>
      </c>
      <c r="C100" s="50" t="s">
        <v>412</v>
      </c>
      <c r="D100" s="392">
        <v>6.83</v>
      </c>
      <c r="E100" s="392">
        <v>6.83</v>
      </c>
      <c r="F100" s="392">
        <v>6.83</v>
      </c>
      <c r="G100" s="392">
        <v>18.39</v>
      </c>
      <c r="H100" s="700">
        <v>18.39</v>
      </c>
      <c r="I100" s="408">
        <f>I89</f>
        <v>55.39</v>
      </c>
      <c r="J100" s="755">
        <f aca="true" t="shared" si="22" ref="J100:P100">J89</f>
        <v>55.39</v>
      </c>
      <c r="K100" s="408">
        <f t="shared" si="22"/>
        <v>127.39</v>
      </c>
      <c r="L100" s="408">
        <f t="shared" si="22"/>
        <v>199.39</v>
      </c>
      <c r="M100" s="408">
        <f t="shared" si="22"/>
        <v>271.39</v>
      </c>
      <c r="N100" s="408">
        <f t="shared" si="22"/>
        <v>343.39</v>
      </c>
      <c r="O100" s="407">
        <f t="shared" si="22"/>
        <v>415.39</v>
      </c>
      <c r="P100" s="373">
        <f t="shared" si="22"/>
        <v>415.39</v>
      </c>
      <c r="Q100" s="736">
        <f>(O100/K100)^0.25*100-100</f>
        <v>34.37861941493733</v>
      </c>
    </row>
    <row r="101" spans="1:17" ht="16.5" customHeight="1">
      <c r="A101" s="50">
        <v>5.12</v>
      </c>
      <c r="B101" s="376" t="s">
        <v>71</v>
      </c>
      <c r="C101" s="50" t="s">
        <v>72</v>
      </c>
      <c r="D101" s="458">
        <f>SUM(D102:D103)</f>
        <v>162.668</v>
      </c>
      <c r="E101" s="458">
        <f aca="true" t="shared" si="23" ref="E101:O101">SUM(E102:E103)</f>
        <v>176.858</v>
      </c>
      <c r="F101" s="458">
        <f>SUM(F102:F103)</f>
        <v>179.822</v>
      </c>
      <c r="G101" s="458">
        <f t="shared" si="23"/>
        <v>193.55079999999998</v>
      </c>
      <c r="H101" s="704">
        <f t="shared" si="23"/>
        <v>256.6512</v>
      </c>
      <c r="I101" s="408">
        <f t="shared" si="23"/>
        <v>196</v>
      </c>
      <c r="J101" s="755">
        <f>(I101+H101+G101+F101+E101)/5</f>
        <v>200.5764</v>
      </c>
      <c r="K101" s="408">
        <f t="shared" si="23"/>
        <v>201</v>
      </c>
      <c r="L101" s="408">
        <f t="shared" si="23"/>
        <v>202</v>
      </c>
      <c r="M101" s="408">
        <f t="shared" si="23"/>
        <v>203</v>
      </c>
      <c r="N101" s="408">
        <f t="shared" si="23"/>
        <v>204</v>
      </c>
      <c r="O101" s="407">
        <f t="shared" si="23"/>
        <v>205</v>
      </c>
      <c r="P101" s="459">
        <f t="shared" si="21"/>
        <v>203</v>
      </c>
      <c r="Q101" s="736">
        <f>(O101/K101)^0.25*100-100</f>
        <v>0.49384217766711913</v>
      </c>
    </row>
    <row r="102" spans="1:17" ht="15.75">
      <c r="A102" s="50"/>
      <c r="B102" s="382" t="s">
        <v>451</v>
      </c>
      <c r="C102" s="50" t="s">
        <v>72</v>
      </c>
      <c r="D102" s="394">
        <v>3.81</v>
      </c>
      <c r="E102" s="464">
        <v>9.3</v>
      </c>
      <c r="F102" s="395">
        <v>3.266</v>
      </c>
      <c r="G102" s="395">
        <v>2.0408</v>
      </c>
      <c r="H102" s="678">
        <v>3.1732</v>
      </c>
      <c r="I102" s="752"/>
      <c r="J102" s="777">
        <f>(I102+H102+G102+F102+E102)/5</f>
        <v>3.556</v>
      </c>
      <c r="K102" s="752">
        <v>0</v>
      </c>
      <c r="L102" s="752">
        <v>0</v>
      </c>
      <c r="M102" s="752">
        <v>0</v>
      </c>
      <c r="N102" s="752">
        <v>0</v>
      </c>
      <c r="O102" s="674"/>
      <c r="P102" s="457"/>
      <c r="Q102" s="736"/>
    </row>
    <row r="103" spans="1:17" ht="15.75">
      <c r="A103" s="50"/>
      <c r="B103" s="376" t="s">
        <v>73</v>
      </c>
      <c r="C103" s="50" t="s">
        <v>72</v>
      </c>
      <c r="D103" s="394">
        <v>158.858</v>
      </c>
      <c r="E103" s="464">
        <v>167.558</v>
      </c>
      <c r="F103" s="465">
        <v>176.556</v>
      </c>
      <c r="G103" s="465">
        <v>191.51</v>
      </c>
      <c r="H103" s="678">
        <v>253.478</v>
      </c>
      <c r="I103" s="754">
        <v>196</v>
      </c>
      <c r="J103" s="765">
        <f>(I103+H103+G103+F103+E103)/5</f>
        <v>197.02040000000002</v>
      </c>
      <c r="K103" s="754">
        <v>201</v>
      </c>
      <c r="L103" s="754">
        <v>202</v>
      </c>
      <c r="M103" s="754">
        <v>203</v>
      </c>
      <c r="N103" s="754">
        <v>204</v>
      </c>
      <c r="O103" s="424">
        <v>205</v>
      </c>
      <c r="P103" s="457">
        <f t="shared" si="21"/>
        <v>203</v>
      </c>
      <c r="Q103" s="736">
        <f>(O103/K103)^0.25*100-100</f>
        <v>0.49384217766711913</v>
      </c>
    </row>
    <row r="104" spans="1:17" ht="15.75">
      <c r="A104" s="50">
        <v>5.14</v>
      </c>
      <c r="B104" s="376" t="s">
        <v>75</v>
      </c>
      <c r="C104" s="50" t="s">
        <v>406</v>
      </c>
      <c r="D104" s="50"/>
      <c r="E104" s="370"/>
      <c r="F104" s="370"/>
      <c r="G104" s="370"/>
      <c r="H104" s="682"/>
      <c r="I104" s="372"/>
      <c r="J104" s="755"/>
      <c r="K104" s="372"/>
      <c r="L104" s="372"/>
      <c r="M104" s="372"/>
      <c r="N104" s="372"/>
      <c r="O104" s="400"/>
      <c r="P104" s="396"/>
      <c r="Q104" s="736"/>
    </row>
    <row r="105" spans="1:17" ht="15.75">
      <c r="A105" s="50">
        <v>5.15</v>
      </c>
      <c r="B105" s="376" t="s">
        <v>76</v>
      </c>
      <c r="C105" s="50" t="s">
        <v>120</v>
      </c>
      <c r="D105" s="466">
        <v>56.54</v>
      </c>
      <c r="E105" s="413">
        <v>56.69</v>
      </c>
      <c r="F105" s="413">
        <v>56.74</v>
      </c>
      <c r="G105" s="413">
        <v>56.61</v>
      </c>
      <c r="H105" s="703">
        <v>56.63</v>
      </c>
      <c r="I105" s="776">
        <v>56.74</v>
      </c>
      <c r="J105" s="772">
        <f>I105</f>
        <v>56.74</v>
      </c>
      <c r="K105" s="776">
        <v>57</v>
      </c>
      <c r="L105" s="776">
        <v>57.2</v>
      </c>
      <c r="M105" s="776">
        <v>57.4</v>
      </c>
      <c r="N105" s="776">
        <v>57.7</v>
      </c>
      <c r="O105" s="784">
        <v>57</v>
      </c>
      <c r="P105" s="412">
        <f>O105-I105</f>
        <v>0.259999999999998</v>
      </c>
      <c r="Q105" s="736"/>
    </row>
    <row r="106" spans="1:17" ht="15.75">
      <c r="A106" s="379" t="s">
        <v>215</v>
      </c>
      <c r="B106" s="380" t="s">
        <v>77</v>
      </c>
      <c r="C106" s="379"/>
      <c r="D106" s="372"/>
      <c r="E106" s="370"/>
      <c r="F106" s="370"/>
      <c r="G106" s="370"/>
      <c r="H106" s="682"/>
      <c r="I106" s="372"/>
      <c r="J106" s="755"/>
      <c r="K106" s="372"/>
      <c r="L106" s="372"/>
      <c r="M106" s="372"/>
      <c r="N106" s="372"/>
      <c r="O106" s="400"/>
      <c r="P106" s="412">
        <f>O106-I106</f>
        <v>0</v>
      </c>
      <c r="Q106" s="736"/>
    </row>
    <row r="107" spans="1:17" ht="16.5" customHeight="1">
      <c r="A107" s="50">
        <v>1</v>
      </c>
      <c r="B107" s="376" t="s">
        <v>78</v>
      </c>
      <c r="C107" s="50" t="s">
        <v>439</v>
      </c>
      <c r="D107" s="450">
        <v>806</v>
      </c>
      <c r="E107" s="438">
        <v>832.4</v>
      </c>
      <c r="F107" s="438">
        <v>847.4</v>
      </c>
      <c r="G107" s="438">
        <v>852.4</v>
      </c>
      <c r="H107" s="705">
        <v>901.4</v>
      </c>
      <c r="I107" s="450">
        <v>921.4</v>
      </c>
      <c r="J107" s="749">
        <f>I107</f>
        <v>921.4</v>
      </c>
      <c r="K107" s="450">
        <v>971.4</v>
      </c>
      <c r="L107" s="763">
        <v>1021.4</v>
      </c>
      <c r="M107" s="763">
        <v>1071.4</v>
      </c>
      <c r="N107" s="763">
        <v>1121.4</v>
      </c>
      <c r="O107" s="424">
        <v>1170</v>
      </c>
      <c r="P107" s="446">
        <f>O107</f>
        <v>1170</v>
      </c>
      <c r="Q107" s="736">
        <f>(O107/K107)^0.25*100-100</f>
        <v>4.7603499847432005</v>
      </c>
    </row>
    <row r="108" spans="1:17" ht="15.75">
      <c r="A108" s="50">
        <v>2</v>
      </c>
      <c r="B108" s="376" t="s">
        <v>79</v>
      </c>
      <c r="C108" s="50" t="s">
        <v>80</v>
      </c>
      <c r="D108" s="372">
        <v>55</v>
      </c>
      <c r="E108" s="370">
        <v>55</v>
      </c>
      <c r="F108" s="370">
        <v>55</v>
      </c>
      <c r="G108" s="370">
        <v>55</v>
      </c>
      <c r="H108" s="682">
        <v>55</v>
      </c>
      <c r="I108" s="372">
        <v>56</v>
      </c>
      <c r="J108" s="755">
        <f aca="true" t="shared" si="24" ref="J108:J125">I108</f>
        <v>56</v>
      </c>
      <c r="K108" s="372">
        <v>56</v>
      </c>
      <c r="L108" s="372">
        <v>56</v>
      </c>
      <c r="M108" s="372">
        <v>56</v>
      </c>
      <c r="N108" s="372">
        <v>56</v>
      </c>
      <c r="O108" s="400">
        <v>56</v>
      </c>
      <c r="P108" s="398">
        <f aca="true" t="shared" si="25" ref="P108:P124">O108</f>
        <v>56</v>
      </c>
      <c r="Q108" s="736"/>
    </row>
    <row r="109" spans="1:17" ht="15.75">
      <c r="A109" s="50" t="s">
        <v>396</v>
      </c>
      <c r="B109" s="376" t="s">
        <v>81</v>
      </c>
      <c r="C109" s="50" t="s">
        <v>464</v>
      </c>
      <c r="D109" s="372"/>
      <c r="E109" s="373">
        <v>118040</v>
      </c>
      <c r="F109" s="373">
        <v>118040</v>
      </c>
      <c r="G109" s="373">
        <v>118040</v>
      </c>
      <c r="H109" s="684">
        <v>118040</v>
      </c>
      <c r="I109" s="408">
        <v>764040</v>
      </c>
      <c r="J109" s="755">
        <f t="shared" si="24"/>
        <v>764040</v>
      </c>
      <c r="K109" s="408">
        <v>772740</v>
      </c>
      <c r="L109" s="408">
        <v>772740</v>
      </c>
      <c r="M109" s="408">
        <v>772740</v>
      </c>
      <c r="N109" s="408">
        <v>772740</v>
      </c>
      <c r="O109" s="407">
        <v>772740</v>
      </c>
      <c r="P109" s="397">
        <f t="shared" si="25"/>
        <v>772740</v>
      </c>
      <c r="Q109" s="736"/>
    </row>
    <row r="110" spans="1:17" ht="15.75">
      <c r="A110" s="50">
        <v>3</v>
      </c>
      <c r="B110" s="376" t="s">
        <v>82</v>
      </c>
      <c r="C110" s="50" t="s">
        <v>439</v>
      </c>
      <c r="D110" s="408">
        <v>71.906</v>
      </c>
      <c r="E110" s="373">
        <f>E111+E112</f>
        <v>88.906</v>
      </c>
      <c r="F110" s="373">
        <f>F111+F112</f>
        <v>94.286</v>
      </c>
      <c r="G110" s="373">
        <f>G111+G112</f>
        <v>98.486</v>
      </c>
      <c r="H110" s="684">
        <f>H111+H112</f>
        <v>103.446</v>
      </c>
      <c r="I110" s="408">
        <f>I111+I112</f>
        <v>112.946</v>
      </c>
      <c r="J110" s="755">
        <f t="shared" si="24"/>
        <v>112.946</v>
      </c>
      <c r="K110" s="408">
        <f>K111+K112</f>
        <v>147.846</v>
      </c>
      <c r="L110" s="408">
        <f>L111+L112</f>
        <v>182.846</v>
      </c>
      <c r="M110" s="408">
        <f>M111+M112</f>
        <v>212.846</v>
      </c>
      <c r="N110" s="408">
        <f>N111+N112</f>
        <v>240.846</v>
      </c>
      <c r="O110" s="407">
        <f>O111+O112</f>
        <v>264.95</v>
      </c>
      <c r="P110" s="398">
        <f t="shared" si="25"/>
        <v>264.95</v>
      </c>
      <c r="Q110" s="736">
        <f>(O110/K110)^0.25*100-100</f>
        <v>15.701392591143389</v>
      </c>
    </row>
    <row r="111" spans="1:17" ht="15.75">
      <c r="A111" s="50"/>
      <c r="B111" s="384" t="s">
        <v>83</v>
      </c>
      <c r="C111" s="50" t="s">
        <v>439</v>
      </c>
      <c r="D111" s="408">
        <v>43.69</v>
      </c>
      <c r="E111" s="373">
        <v>57.69</v>
      </c>
      <c r="F111" s="373">
        <v>59.99</v>
      </c>
      <c r="G111" s="373">
        <v>60.49</v>
      </c>
      <c r="H111" s="684">
        <v>61.05</v>
      </c>
      <c r="I111" s="408">
        <v>63.05</v>
      </c>
      <c r="J111" s="755">
        <f t="shared" si="24"/>
        <v>63.05</v>
      </c>
      <c r="K111" s="408">
        <v>67.95</v>
      </c>
      <c r="L111" s="408">
        <v>72.95</v>
      </c>
      <c r="M111" s="408">
        <v>77.95</v>
      </c>
      <c r="N111" s="408">
        <v>80.95</v>
      </c>
      <c r="O111" s="407">
        <v>83.95</v>
      </c>
      <c r="P111" s="398">
        <f t="shared" si="25"/>
        <v>83.95</v>
      </c>
      <c r="Q111" s="736">
        <f>(O111/K111)^0.25*100-100</f>
        <v>5.4284471467595665</v>
      </c>
    </row>
    <row r="112" spans="1:17" ht="15.75">
      <c r="A112" s="50"/>
      <c r="B112" s="384" t="s">
        <v>84</v>
      </c>
      <c r="C112" s="50" t="s">
        <v>439</v>
      </c>
      <c r="D112" s="408">
        <v>28.216</v>
      </c>
      <c r="E112" s="373">
        <v>31.216</v>
      </c>
      <c r="F112" s="373">
        <v>34.296</v>
      </c>
      <c r="G112" s="373">
        <v>37.996</v>
      </c>
      <c r="H112" s="684">
        <v>42.396</v>
      </c>
      <c r="I112" s="408">
        <v>49.896</v>
      </c>
      <c r="J112" s="755">
        <f t="shared" si="24"/>
        <v>49.896</v>
      </c>
      <c r="K112" s="408">
        <v>79.896</v>
      </c>
      <c r="L112" s="408">
        <v>109.896</v>
      </c>
      <c r="M112" s="408">
        <v>134.89600000000002</v>
      </c>
      <c r="N112" s="408">
        <v>159.89600000000002</v>
      </c>
      <c r="O112" s="407">
        <v>181</v>
      </c>
      <c r="P112" s="398">
        <f t="shared" si="25"/>
        <v>181</v>
      </c>
      <c r="Q112" s="736">
        <f>(O112/K112)^0.25*100-100</f>
        <v>22.684129149908713</v>
      </c>
    </row>
    <row r="113" spans="1:17" ht="15.75">
      <c r="A113" s="50"/>
      <c r="B113" s="376" t="s">
        <v>85</v>
      </c>
      <c r="C113" s="50" t="s">
        <v>120</v>
      </c>
      <c r="D113" s="450">
        <f>D112/181*100</f>
        <v>15.588950276243093</v>
      </c>
      <c r="E113" s="442">
        <f aca="true" t="shared" si="26" ref="E113:O113">E112/181*100</f>
        <v>17.246408839779008</v>
      </c>
      <c r="F113" s="442">
        <f t="shared" si="26"/>
        <v>18.948066298342543</v>
      </c>
      <c r="G113" s="442">
        <f>G112/181*100</f>
        <v>20.992265193370166</v>
      </c>
      <c r="H113" s="706">
        <f t="shared" si="26"/>
        <v>23.423204419889505</v>
      </c>
      <c r="I113" s="450">
        <f t="shared" si="26"/>
        <v>27.566850828729283</v>
      </c>
      <c r="J113" s="772">
        <f t="shared" si="24"/>
        <v>27.566850828729283</v>
      </c>
      <c r="K113" s="450">
        <f t="shared" si="26"/>
        <v>44.14143646408839</v>
      </c>
      <c r="L113" s="450">
        <f t="shared" si="26"/>
        <v>60.71602209944752</v>
      </c>
      <c r="M113" s="450">
        <f t="shared" si="26"/>
        <v>74.52817679558011</v>
      </c>
      <c r="N113" s="450">
        <f t="shared" si="26"/>
        <v>88.34033149171272</v>
      </c>
      <c r="O113" s="410">
        <f t="shared" si="26"/>
        <v>100</v>
      </c>
      <c r="P113" s="398">
        <f t="shared" si="25"/>
        <v>100</v>
      </c>
      <c r="Q113" s="736"/>
    </row>
    <row r="114" spans="1:17" ht="18.75" customHeight="1">
      <c r="A114" s="50">
        <v>4</v>
      </c>
      <c r="B114" s="376" t="s">
        <v>86</v>
      </c>
      <c r="C114" s="50" t="s">
        <v>80</v>
      </c>
      <c r="D114" s="372">
        <v>321</v>
      </c>
      <c r="E114" s="370">
        <v>321</v>
      </c>
      <c r="F114" s="370">
        <v>321</v>
      </c>
      <c r="G114" s="370">
        <v>321</v>
      </c>
      <c r="H114" s="682">
        <v>321</v>
      </c>
      <c r="I114" s="372">
        <v>321</v>
      </c>
      <c r="J114" s="755">
        <f t="shared" si="24"/>
        <v>321</v>
      </c>
      <c r="K114" s="372">
        <v>321</v>
      </c>
      <c r="L114" s="372">
        <v>321</v>
      </c>
      <c r="M114" s="372">
        <v>321</v>
      </c>
      <c r="N114" s="372">
        <v>321</v>
      </c>
      <c r="O114" s="400">
        <v>321</v>
      </c>
      <c r="P114" s="398">
        <f t="shared" si="25"/>
        <v>321</v>
      </c>
      <c r="Q114" s="736"/>
    </row>
    <row r="115" spans="1:17" ht="21.75" customHeight="1">
      <c r="A115" s="50">
        <v>5</v>
      </c>
      <c r="B115" s="376" t="s">
        <v>87</v>
      </c>
      <c r="C115" s="50" t="s">
        <v>440</v>
      </c>
      <c r="D115" s="372">
        <v>297</v>
      </c>
      <c r="E115" s="370">
        <v>297</v>
      </c>
      <c r="F115" s="370">
        <f>E115+2</f>
        <v>299</v>
      </c>
      <c r="G115" s="370">
        <f>F115+1</f>
        <v>300</v>
      </c>
      <c r="H115" s="682">
        <f>G115+3</f>
        <v>303</v>
      </c>
      <c r="I115" s="372">
        <f>H115+1</f>
        <v>304</v>
      </c>
      <c r="J115" s="755">
        <f t="shared" si="24"/>
        <v>304</v>
      </c>
      <c r="K115" s="372">
        <f>I115</f>
        <v>304</v>
      </c>
      <c r="L115" s="372">
        <f>K115</f>
        <v>304</v>
      </c>
      <c r="M115" s="372">
        <f>K115</f>
        <v>304</v>
      </c>
      <c r="N115" s="372">
        <f>L115</f>
        <v>304</v>
      </c>
      <c r="O115" s="400">
        <f>M115</f>
        <v>304</v>
      </c>
      <c r="P115" s="398">
        <f t="shared" si="25"/>
        <v>304</v>
      </c>
      <c r="Q115" s="736"/>
    </row>
    <row r="116" spans="1:17" ht="18.75" customHeight="1">
      <c r="A116" s="50"/>
      <c r="B116" s="376" t="s">
        <v>88</v>
      </c>
      <c r="C116" s="50" t="s">
        <v>412</v>
      </c>
      <c r="D116" s="408">
        <v>34872.026</v>
      </c>
      <c r="E116" s="373">
        <v>35583.7</v>
      </c>
      <c r="F116" s="373">
        <v>35953.7</v>
      </c>
      <c r="G116" s="373">
        <v>36103.7</v>
      </c>
      <c r="H116" s="684">
        <v>36198.7</v>
      </c>
      <c r="I116" s="408">
        <v>38008.635</v>
      </c>
      <c r="J116" s="755">
        <f t="shared" si="24"/>
        <v>38008.635</v>
      </c>
      <c r="K116" s="754">
        <v>38000</v>
      </c>
      <c r="L116" s="754">
        <v>38000</v>
      </c>
      <c r="M116" s="754">
        <v>38000</v>
      </c>
      <c r="N116" s="754">
        <v>38000</v>
      </c>
      <c r="O116" s="424">
        <v>38000</v>
      </c>
      <c r="P116" s="398">
        <f t="shared" si="25"/>
        <v>38000</v>
      </c>
      <c r="Q116" s="736"/>
    </row>
    <row r="117" spans="1:17" ht="18.75" customHeight="1">
      <c r="A117" s="50"/>
      <c r="B117" s="376" t="s">
        <v>89</v>
      </c>
      <c r="C117" s="50" t="s">
        <v>412</v>
      </c>
      <c r="D117" s="408">
        <v>9731</v>
      </c>
      <c r="E117" s="408">
        <v>9781</v>
      </c>
      <c r="F117" s="408">
        <v>10223</v>
      </c>
      <c r="G117" s="408">
        <v>10500</v>
      </c>
      <c r="H117" s="707">
        <v>10500</v>
      </c>
      <c r="I117" s="408">
        <v>10500</v>
      </c>
      <c r="J117" s="755">
        <f t="shared" si="24"/>
        <v>10500</v>
      </c>
      <c r="K117" s="408">
        <v>10500</v>
      </c>
      <c r="L117" s="408">
        <v>10500</v>
      </c>
      <c r="M117" s="408">
        <v>10500</v>
      </c>
      <c r="N117" s="408">
        <v>10500</v>
      </c>
      <c r="O117" s="407">
        <v>10500</v>
      </c>
      <c r="P117" s="398">
        <f t="shared" si="25"/>
        <v>10500</v>
      </c>
      <c r="Q117" s="736"/>
    </row>
    <row r="118" spans="1:17" ht="15.75">
      <c r="A118" s="50">
        <v>6</v>
      </c>
      <c r="B118" s="376" t="s">
        <v>90</v>
      </c>
      <c r="C118" s="50" t="s">
        <v>412</v>
      </c>
      <c r="D118" s="408">
        <v>51374.36812119107</v>
      </c>
      <c r="E118" s="373">
        <v>51469.36812119107</v>
      </c>
      <c r="F118" s="373">
        <v>51839.36812119107</v>
      </c>
      <c r="G118" s="373">
        <v>52039.36812119107</v>
      </c>
      <c r="H118" s="684">
        <v>52189.36812119107</v>
      </c>
      <c r="I118" s="408">
        <v>52280</v>
      </c>
      <c r="J118" s="755">
        <f t="shared" si="24"/>
        <v>52280</v>
      </c>
      <c r="K118" s="754">
        <v>52280</v>
      </c>
      <c r="L118" s="754">
        <v>52280</v>
      </c>
      <c r="M118" s="754">
        <v>52280</v>
      </c>
      <c r="N118" s="754">
        <v>52280</v>
      </c>
      <c r="O118" s="424">
        <v>52280</v>
      </c>
      <c r="P118" s="412">
        <f t="shared" si="25"/>
        <v>52280</v>
      </c>
      <c r="Q118" s="736"/>
    </row>
    <row r="119" spans="1:17" ht="15.75">
      <c r="A119" s="50"/>
      <c r="B119" s="376" t="s">
        <v>91</v>
      </c>
      <c r="C119" s="50" t="s">
        <v>120</v>
      </c>
      <c r="D119" s="408">
        <v>84</v>
      </c>
      <c r="E119" s="447">
        <v>92.73091690903553</v>
      </c>
      <c r="F119" s="447">
        <v>93.3975355311168</v>
      </c>
      <c r="G119" s="447">
        <v>93.75786992143102</v>
      </c>
      <c r="H119" s="708">
        <v>94.02812071416668</v>
      </c>
      <c r="I119" s="762">
        <v>94.19927954956593</v>
      </c>
      <c r="J119" s="748">
        <f t="shared" si="24"/>
        <v>94.19927954956593</v>
      </c>
      <c r="K119" s="754">
        <v>95</v>
      </c>
      <c r="L119" s="754">
        <v>95</v>
      </c>
      <c r="M119" s="754">
        <v>95</v>
      </c>
      <c r="N119" s="754">
        <v>95</v>
      </c>
      <c r="O119" s="424">
        <v>95</v>
      </c>
      <c r="P119" s="412">
        <f t="shared" si="25"/>
        <v>95</v>
      </c>
      <c r="Q119" s="736"/>
    </row>
    <row r="120" spans="1:17" ht="15.75">
      <c r="A120" s="50">
        <v>7</v>
      </c>
      <c r="B120" s="376" t="s">
        <v>92</v>
      </c>
      <c r="C120" s="50" t="s">
        <v>412</v>
      </c>
      <c r="D120" s="408">
        <v>21731</v>
      </c>
      <c r="E120" s="451">
        <v>21781</v>
      </c>
      <c r="F120" s="373">
        <v>22223</v>
      </c>
      <c r="G120" s="373">
        <v>22500</v>
      </c>
      <c r="H120" s="684">
        <v>22500</v>
      </c>
      <c r="I120" s="408">
        <v>22500</v>
      </c>
      <c r="J120" s="755">
        <f t="shared" si="24"/>
        <v>22500</v>
      </c>
      <c r="K120" s="408">
        <v>22500</v>
      </c>
      <c r="L120" s="408">
        <v>22500</v>
      </c>
      <c r="M120" s="408">
        <v>22500</v>
      </c>
      <c r="N120" s="408">
        <v>22500</v>
      </c>
      <c r="O120" s="407">
        <v>22500</v>
      </c>
      <c r="P120" s="412">
        <f t="shared" si="25"/>
        <v>22500</v>
      </c>
      <c r="Q120" s="736"/>
    </row>
    <row r="121" spans="1:17" ht="15.75">
      <c r="A121" s="50"/>
      <c r="B121" s="376" t="s">
        <v>93</v>
      </c>
      <c r="C121" s="50" t="s">
        <v>120</v>
      </c>
      <c r="D121" s="671">
        <v>39.152133179590656</v>
      </c>
      <c r="E121" s="671">
        <v>39.24221677716921</v>
      </c>
      <c r="F121" s="671">
        <v>40.03855577976362</v>
      </c>
      <c r="G121" s="671">
        <v>40.537618910348804</v>
      </c>
      <c r="H121" s="709">
        <v>40.537618910348804</v>
      </c>
      <c r="I121" s="757">
        <v>40.537618910348804</v>
      </c>
      <c r="J121" s="755">
        <f t="shared" si="24"/>
        <v>40.537618910348804</v>
      </c>
      <c r="K121" s="372">
        <v>41</v>
      </c>
      <c r="L121" s="372">
        <v>41</v>
      </c>
      <c r="M121" s="372">
        <v>41</v>
      </c>
      <c r="N121" s="372">
        <v>41</v>
      </c>
      <c r="O121" s="400">
        <v>41</v>
      </c>
      <c r="P121" s="412">
        <f t="shared" si="25"/>
        <v>41</v>
      </c>
      <c r="Q121" s="736"/>
    </row>
    <row r="122" spans="1:17" ht="21" customHeight="1">
      <c r="A122" s="50">
        <v>8</v>
      </c>
      <c r="B122" s="376" t="s">
        <v>94</v>
      </c>
      <c r="C122" s="50" t="s">
        <v>95</v>
      </c>
      <c r="D122" s="400">
        <v>10</v>
      </c>
      <c r="E122" s="391">
        <v>16</v>
      </c>
      <c r="F122" s="391">
        <v>20</v>
      </c>
      <c r="G122" s="391">
        <v>20</v>
      </c>
      <c r="H122" s="710">
        <v>20</v>
      </c>
      <c r="I122" s="372">
        <v>22</v>
      </c>
      <c r="J122" s="755">
        <f t="shared" si="24"/>
        <v>22</v>
      </c>
      <c r="K122" s="372">
        <v>26</v>
      </c>
      <c r="L122" s="372">
        <v>30</v>
      </c>
      <c r="M122" s="372">
        <v>34</v>
      </c>
      <c r="N122" s="372">
        <v>37</v>
      </c>
      <c r="O122" s="400">
        <v>39</v>
      </c>
      <c r="P122" s="412">
        <f t="shared" si="25"/>
        <v>39</v>
      </c>
      <c r="Q122" s="736"/>
    </row>
    <row r="123" spans="1:17" ht="15.75">
      <c r="A123" s="50">
        <v>9</v>
      </c>
      <c r="B123" s="376" t="s">
        <v>96</v>
      </c>
      <c r="C123" s="50" t="s">
        <v>437</v>
      </c>
      <c r="D123" s="400">
        <v>1</v>
      </c>
      <c r="E123" s="391">
        <v>1</v>
      </c>
      <c r="F123" s="391">
        <v>1</v>
      </c>
      <c r="G123" s="391">
        <v>1</v>
      </c>
      <c r="H123" s="710">
        <v>1</v>
      </c>
      <c r="I123" s="372">
        <v>2</v>
      </c>
      <c r="J123" s="755">
        <f t="shared" si="24"/>
        <v>2</v>
      </c>
      <c r="K123" s="372">
        <v>2</v>
      </c>
      <c r="L123" s="372">
        <v>3</v>
      </c>
      <c r="M123" s="372">
        <v>4</v>
      </c>
      <c r="N123" s="372">
        <v>4</v>
      </c>
      <c r="O123" s="400">
        <v>4</v>
      </c>
      <c r="P123" s="412">
        <f t="shared" si="25"/>
        <v>4</v>
      </c>
      <c r="Q123" s="736"/>
    </row>
    <row r="124" spans="1:17" ht="31.5">
      <c r="A124" s="50"/>
      <c r="B124" s="376" t="s">
        <v>455</v>
      </c>
      <c r="C124" s="50" t="s">
        <v>438</v>
      </c>
      <c r="D124" s="400">
        <v>500</v>
      </c>
      <c r="E124" s="391">
        <v>500</v>
      </c>
      <c r="F124" s="391">
        <v>500</v>
      </c>
      <c r="G124" s="391">
        <v>500</v>
      </c>
      <c r="H124" s="710">
        <v>500</v>
      </c>
      <c r="I124" s="408">
        <v>1000</v>
      </c>
      <c r="J124" s="755">
        <f t="shared" si="24"/>
        <v>1000</v>
      </c>
      <c r="K124" s="408">
        <v>1000</v>
      </c>
      <c r="L124" s="408">
        <v>1250</v>
      </c>
      <c r="M124" s="408">
        <v>1750</v>
      </c>
      <c r="N124" s="408">
        <v>1750</v>
      </c>
      <c r="O124" s="407">
        <v>1750</v>
      </c>
      <c r="P124" s="398">
        <f t="shared" si="25"/>
        <v>1750</v>
      </c>
      <c r="Q124" s="736">
        <f>(O124/K124)^0.25*100-100</f>
        <v>15.016331689560289</v>
      </c>
    </row>
    <row r="125" spans="1:17" ht="20.25" customHeight="1">
      <c r="A125" s="50">
        <v>10</v>
      </c>
      <c r="B125" s="376" t="s">
        <v>97</v>
      </c>
      <c r="C125" s="50" t="s">
        <v>98</v>
      </c>
      <c r="D125" s="400">
        <v>12</v>
      </c>
      <c r="E125" s="391">
        <v>16</v>
      </c>
      <c r="F125" s="391">
        <v>16</v>
      </c>
      <c r="G125" s="391">
        <v>20</v>
      </c>
      <c r="H125" s="710">
        <v>21</v>
      </c>
      <c r="I125" s="372">
        <v>24</v>
      </c>
      <c r="J125" s="755">
        <f t="shared" si="24"/>
        <v>24</v>
      </c>
      <c r="K125" s="372">
        <v>28</v>
      </c>
      <c r="L125" s="372">
        <v>32</v>
      </c>
      <c r="M125" s="372">
        <v>35</v>
      </c>
      <c r="N125" s="372">
        <v>38</v>
      </c>
      <c r="O125" s="400">
        <v>41</v>
      </c>
      <c r="P125" s="412">
        <f>O125-I125</f>
        <v>17</v>
      </c>
      <c r="Q125" s="736"/>
    </row>
    <row r="126" spans="1:17" ht="15.75">
      <c r="A126" s="50">
        <v>11</v>
      </c>
      <c r="B126" s="376" t="s">
        <v>99</v>
      </c>
      <c r="C126" s="50" t="s">
        <v>412</v>
      </c>
      <c r="D126" s="400">
        <v>200</v>
      </c>
      <c r="E126" s="391">
        <v>500</v>
      </c>
      <c r="F126" s="391">
        <v>700</v>
      </c>
      <c r="G126" s="391">
        <v>800</v>
      </c>
      <c r="H126" s="710">
        <v>950</v>
      </c>
      <c r="I126" s="372">
        <v>950</v>
      </c>
      <c r="J126" s="772">
        <f>I126-D126</f>
        <v>750</v>
      </c>
      <c r="K126" s="372">
        <v>0</v>
      </c>
      <c r="L126" s="372">
        <v>0</v>
      </c>
      <c r="M126" s="372">
        <v>0</v>
      </c>
      <c r="N126" s="372">
        <v>0</v>
      </c>
      <c r="O126" s="400">
        <v>0</v>
      </c>
      <c r="P126" s="412"/>
      <c r="Q126" s="736"/>
    </row>
    <row r="127" spans="1:17" ht="38.25" customHeight="1">
      <c r="A127" s="50">
        <v>12</v>
      </c>
      <c r="B127" s="376" t="s">
        <v>100</v>
      </c>
      <c r="C127" s="50" t="s">
        <v>412</v>
      </c>
      <c r="D127" s="400">
        <v>650</v>
      </c>
      <c r="E127" s="391">
        <v>801</v>
      </c>
      <c r="F127" s="391">
        <v>951</v>
      </c>
      <c r="G127" s="391">
        <v>951</v>
      </c>
      <c r="H127" s="710">
        <v>951</v>
      </c>
      <c r="I127" s="372">
        <v>951</v>
      </c>
      <c r="J127" s="772">
        <f>I127</f>
        <v>951</v>
      </c>
      <c r="K127" s="754">
        <v>1137</v>
      </c>
      <c r="L127" s="754">
        <v>1237</v>
      </c>
      <c r="M127" s="754">
        <v>1337</v>
      </c>
      <c r="N127" s="754">
        <v>1387</v>
      </c>
      <c r="O127" s="424">
        <v>1437</v>
      </c>
      <c r="P127" s="412">
        <v>500</v>
      </c>
      <c r="Q127" s="736">
        <f>(O127/K127)^0.25*100-100</f>
        <v>6.028856062550588</v>
      </c>
    </row>
    <row r="128" spans="1:17" ht="36" customHeight="1">
      <c r="A128" s="50"/>
      <c r="B128" s="376" t="s">
        <v>460</v>
      </c>
      <c r="C128" s="50" t="s">
        <v>120</v>
      </c>
      <c r="D128" s="455">
        <f aca="true" t="shared" si="27" ref="D128:P128">D127/D65*100</f>
        <v>16.905071521456435</v>
      </c>
      <c r="E128" s="455">
        <f t="shared" si="27"/>
        <v>20.670967741935485</v>
      </c>
      <c r="F128" s="456">
        <f t="shared" si="27"/>
        <v>22.686068702290076</v>
      </c>
      <c r="G128" s="456">
        <f t="shared" si="27"/>
        <v>22.003701989819525</v>
      </c>
      <c r="H128" s="711">
        <f t="shared" si="27"/>
        <v>20.72346916539551</v>
      </c>
      <c r="I128" s="764">
        <f t="shared" si="27"/>
        <v>20.67391304347826</v>
      </c>
      <c r="J128" s="778">
        <f t="shared" si="27"/>
        <v>20.67391304347826</v>
      </c>
      <c r="K128" s="764">
        <f t="shared" si="27"/>
        <v>24.717391304347828</v>
      </c>
      <c r="L128" s="764">
        <f t="shared" si="27"/>
        <v>26.89130434782609</v>
      </c>
      <c r="M128" s="764">
        <f t="shared" si="27"/>
        <v>29.065217391304348</v>
      </c>
      <c r="N128" s="764">
        <f t="shared" si="27"/>
        <v>30.152173913043477</v>
      </c>
      <c r="O128" s="456">
        <f t="shared" si="27"/>
        <v>31.23913043478261</v>
      </c>
      <c r="P128" s="764">
        <f t="shared" si="27"/>
        <v>10.869565217391305</v>
      </c>
      <c r="Q128" s="736"/>
    </row>
    <row r="129" spans="1:17" ht="24.75" customHeight="1">
      <c r="A129" s="50">
        <v>13</v>
      </c>
      <c r="B129" s="376" t="s">
        <v>101</v>
      </c>
      <c r="C129" s="50" t="s">
        <v>452</v>
      </c>
      <c r="D129" s="392">
        <v>5000</v>
      </c>
      <c r="E129" s="392">
        <v>6000</v>
      </c>
      <c r="F129" s="392">
        <v>6000</v>
      </c>
      <c r="G129" s="392">
        <v>6000</v>
      </c>
      <c r="H129" s="700">
        <v>6500</v>
      </c>
      <c r="I129" s="408">
        <v>7000</v>
      </c>
      <c r="J129" s="755">
        <f>SUM(E129:I129)/5</f>
        <v>6300</v>
      </c>
      <c r="K129" s="408">
        <v>8000</v>
      </c>
      <c r="L129" s="408">
        <v>8000</v>
      </c>
      <c r="M129" s="408">
        <v>9000</v>
      </c>
      <c r="N129" s="408">
        <v>9000</v>
      </c>
      <c r="O129" s="407">
        <v>10000</v>
      </c>
      <c r="P129" s="398">
        <f>SUM(K129:O129)/5</f>
        <v>8800</v>
      </c>
      <c r="Q129" s="736"/>
    </row>
    <row r="130" spans="1:17" ht="20.25" customHeight="1">
      <c r="A130" s="50">
        <v>14</v>
      </c>
      <c r="B130" s="376" t="s">
        <v>102</v>
      </c>
      <c r="C130" s="50" t="s">
        <v>120</v>
      </c>
      <c r="D130" s="400">
        <v>65</v>
      </c>
      <c r="E130" s="400">
        <v>69</v>
      </c>
      <c r="F130" s="400">
        <v>72</v>
      </c>
      <c r="G130" s="400">
        <v>77</v>
      </c>
      <c r="H130" s="695">
        <v>80</v>
      </c>
      <c r="I130" s="372">
        <v>85</v>
      </c>
      <c r="J130" s="755">
        <f aca="true" t="shared" si="28" ref="J130:J136">I130-D130</f>
        <v>20</v>
      </c>
      <c r="K130" s="372">
        <v>86</v>
      </c>
      <c r="L130" s="372">
        <v>88</v>
      </c>
      <c r="M130" s="372">
        <v>90</v>
      </c>
      <c r="N130" s="372">
        <v>92</v>
      </c>
      <c r="O130" s="400">
        <v>95</v>
      </c>
      <c r="P130" s="398">
        <f aca="true" t="shared" si="29" ref="P130:P135">O130-I130</f>
        <v>10</v>
      </c>
      <c r="Q130" s="736"/>
    </row>
    <row r="131" spans="1:17" ht="16.5" customHeight="1">
      <c r="A131" s="50"/>
      <c r="B131" s="376" t="s">
        <v>103</v>
      </c>
      <c r="C131" s="50" t="s">
        <v>104</v>
      </c>
      <c r="D131" s="400">
        <v>49</v>
      </c>
      <c r="E131" s="400">
        <v>55</v>
      </c>
      <c r="F131" s="400">
        <v>58</v>
      </c>
      <c r="G131" s="400">
        <v>62</v>
      </c>
      <c r="H131" s="695">
        <v>68</v>
      </c>
      <c r="I131" s="372">
        <v>75</v>
      </c>
      <c r="J131" s="755">
        <f t="shared" si="28"/>
        <v>26</v>
      </c>
      <c r="K131" s="372">
        <v>76</v>
      </c>
      <c r="L131" s="372">
        <v>78</v>
      </c>
      <c r="M131" s="372">
        <v>80</v>
      </c>
      <c r="N131" s="372">
        <v>82</v>
      </c>
      <c r="O131" s="400">
        <v>85</v>
      </c>
      <c r="P131" s="398">
        <f t="shared" si="29"/>
        <v>10</v>
      </c>
      <c r="Q131" s="736"/>
    </row>
    <row r="132" spans="1:17" ht="31.5">
      <c r="A132" s="50">
        <v>15</v>
      </c>
      <c r="B132" s="376" t="s">
        <v>105</v>
      </c>
      <c r="C132" s="50" t="s">
        <v>120</v>
      </c>
      <c r="D132" s="400">
        <v>85</v>
      </c>
      <c r="E132" s="400">
        <v>87</v>
      </c>
      <c r="F132" s="400">
        <v>90</v>
      </c>
      <c r="G132" s="400">
        <v>92</v>
      </c>
      <c r="H132" s="695">
        <v>93</v>
      </c>
      <c r="I132" s="372">
        <v>95</v>
      </c>
      <c r="J132" s="755">
        <f t="shared" si="28"/>
        <v>10</v>
      </c>
      <c r="K132" s="372">
        <v>96</v>
      </c>
      <c r="L132" s="372">
        <v>97</v>
      </c>
      <c r="M132" s="372">
        <v>99</v>
      </c>
      <c r="N132" s="372">
        <v>100</v>
      </c>
      <c r="O132" s="400">
        <v>100</v>
      </c>
      <c r="P132" s="398">
        <f t="shared" si="29"/>
        <v>5</v>
      </c>
      <c r="Q132" s="736"/>
    </row>
    <row r="133" spans="1:17" ht="31.5">
      <c r="A133" s="50">
        <v>16</v>
      </c>
      <c r="B133" s="376" t="s">
        <v>106</v>
      </c>
      <c r="C133" s="50" t="s">
        <v>1</v>
      </c>
      <c r="D133" s="407">
        <v>92500</v>
      </c>
      <c r="E133" s="407">
        <v>97650</v>
      </c>
      <c r="F133" s="407">
        <v>102138.66</v>
      </c>
      <c r="G133" s="407">
        <v>106820</v>
      </c>
      <c r="H133" s="693">
        <v>123816</v>
      </c>
      <c r="I133" s="408">
        <v>127287.5</v>
      </c>
      <c r="J133" s="755">
        <f t="shared" si="28"/>
        <v>34787.5</v>
      </c>
      <c r="K133" s="408">
        <v>132327</v>
      </c>
      <c r="L133" s="408">
        <v>137460.5</v>
      </c>
      <c r="M133" s="408">
        <v>142688</v>
      </c>
      <c r="N133" s="408">
        <v>148009.5</v>
      </c>
      <c r="O133" s="407">
        <v>153425</v>
      </c>
      <c r="P133" s="398">
        <f t="shared" si="29"/>
        <v>26137.5</v>
      </c>
      <c r="Q133" s="736"/>
    </row>
    <row r="134" spans="1:17" ht="31.5">
      <c r="A134" s="50">
        <v>17</v>
      </c>
      <c r="B134" s="376" t="s">
        <v>107</v>
      </c>
      <c r="C134" s="50" t="s">
        <v>120</v>
      </c>
      <c r="D134" s="400">
        <v>70</v>
      </c>
      <c r="E134" s="400">
        <v>75</v>
      </c>
      <c r="F134" s="400">
        <v>78</v>
      </c>
      <c r="G134" s="400">
        <v>80</v>
      </c>
      <c r="H134" s="695">
        <v>84</v>
      </c>
      <c r="I134" s="372">
        <v>85</v>
      </c>
      <c r="J134" s="755">
        <f t="shared" si="28"/>
        <v>15</v>
      </c>
      <c r="K134" s="372">
        <v>87</v>
      </c>
      <c r="L134" s="372">
        <v>89</v>
      </c>
      <c r="M134" s="372">
        <v>91</v>
      </c>
      <c r="N134" s="372">
        <v>93</v>
      </c>
      <c r="O134" s="400">
        <v>95</v>
      </c>
      <c r="P134" s="398">
        <f t="shared" si="29"/>
        <v>10</v>
      </c>
      <c r="Q134" s="736"/>
    </row>
    <row r="135" spans="1:17" ht="31.5">
      <c r="A135" s="50">
        <v>18</v>
      </c>
      <c r="B135" s="376" t="s">
        <v>108</v>
      </c>
      <c r="C135" s="50" t="s">
        <v>120</v>
      </c>
      <c r="D135" s="400">
        <v>29</v>
      </c>
      <c r="E135" s="400">
        <v>31</v>
      </c>
      <c r="F135" s="400">
        <v>34</v>
      </c>
      <c r="G135" s="400">
        <v>47</v>
      </c>
      <c r="H135" s="695">
        <v>50</v>
      </c>
      <c r="I135" s="372">
        <v>65</v>
      </c>
      <c r="J135" s="755">
        <f t="shared" si="28"/>
        <v>36</v>
      </c>
      <c r="K135" s="372">
        <v>67</v>
      </c>
      <c r="L135" s="372">
        <v>69</v>
      </c>
      <c r="M135" s="372">
        <v>71</v>
      </c>
      <c r="N135" s="372">
        <v>73</v>
      </c>
      <c r="O135" s="400">
        <v>75</v>
      </c>
      <c r="P135" s="398">
        <f t="shared" si="29"/>
        <v>10</v>
      </c>
      <c r="Q135" s="736"/>
    </row>
    <row r="136" spans="1:17" ht="31.5">
      <c r="A136" s="403">
        <v>19</v>
      </c>
      <c r="B136" s="404" t="s">
        <v>109</v>
      </c>
      <c r="C136" s="403" t="s">
        <v>120</v>
      </c>
      <c r="D136" s="454">
        <v>0</v>
      </c>
      <c r="E136" s="453">
        <v>0</v>
      </c>
      <c r="F136" s="453">
        <v>0</v>
      </c>
      <c r="G136" s="453">
        <f>1/92*100</f>
        <v>1.0869565217391304</v>
      </c>
      <c r="H136" s="712">
        <f>8/92*100</f>
        <v>8.695652173913043</v>
      </c>
      <c r="I136" s="779">
        <f>19/92*100</f>
        <v>20.652173913043477</v>
      </c>
      <c r="J136" s="780">
        <f t="shared" si="28"/>
        <v>20.652173913043477</v>
      </c>
      <c r="K136" s="779">
        <f>25/92*100</f>
        <v>27.173913043478258</v>
      </c>
      <c r="L136" s="779">
        <f>31/92*100</f>
        <v>33.69565217391305</v>
      </c>
      <c r="M136" s="779">
        <f>37/92*100</f>
        <v>40.21739130434783</v>
      </c>
      <c r="N136" s="779">
        <f>43/92*100</f>
        <v>46.73913043478261</v>
      </c>
      <c r="O136" s="454">
        <f>50/92*100</f>
        <v>54.347826086956516</v>
      </c>
      <c r="P136" s="440">
        <f>O136</f>
        <v>54.347826086956516</v>
      </c>
      <c r="Q136" s="736"/>
    </row>
    <row r="137" spans="1:10" ht="16.5">
      <c r="A137" s="742"/>
      <c r="B137" s="743"/>
      <c r="D137" s="425"/>
      <c r="E137" s="426"/>
      <c r="F137" s="426"/>
      <c r="G137" s="426"/>
      <c r="I137" s="426"/>
      <c r="J137" s="781"/>
    </row>
    <row r="138" spans="1:10" ht="16.5">
      <c r="A138" s="742"/>
      <c r="B138" s="743"/>
      <c r="D138" s="425"/>
      <c r="E138" s="426"/>
      <c r="F138" s="426"/>
      <c r="G138" s="426"/>
      <c r="I138" s="426"/>
      <c r="J138" s="781"/>
    </row>
    <row r="146" ht="15.75"/>
    <row r="147" ht="15.75"/>
    <row r="148" ht="15.75"/>
    <row r="149" ht="15.75"/>
    <row r="150" ht="15.75"/>
    <row r="162" ht="15.75"/>
    <row r="163" ht="15.75"/>
  </sheetData>
  <sheetProtection/>
  <mergeCells count="2">
    <mergeCell ref="R25:R26"/>
    <mergeCell ref="A2:Q2"/>
  </mergeCells>
  <printOptions/>
  <pageMargins left="0.8661417322834646" right="0.2362204724409449" top="0.5511811023622047" bottom="0.5511811023622047" header="0.15748031496062992" footer="0.2362204724409449"/>
  <pageSetup fitToHeight="4" horizontalDpi="600" verticalDpi="600" orientation="portrait" paperSize="9" scale="7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T63"/>
  <sheetViews>
    <sheetView zoomScalePageLayoutView="0" workbookViewId="0" topLeftCell="A40">
      <selection activeCell="D51" sqref="D51:D61"/>
    </sheetView>
  </sheetViews>
  <sheetFormatPr defaultColWidth="9.140625" defaultRowHeight="12.75"/>
  <cols>
    <col min="1" max="1" width="9.140625" style="516" customWidth="1"/>
    <col min="2" max="2" width="35.140625" style="516" customWidth="1"/>
    <col min="3" max="3" width="14.28125" style="516" bestFit="1" customWidth="1"/>
    <col min="4" max="4" width="13.57421875" style="516" customWidth="1"/>
    <col min="5" max="5" width="15.140625" style="516" customWidth="1"/>
    <col min="6" max="6" width="13.7109375" style="516" customWidth="1"/>
    <col min="7" max="7" width="14.421875" style="516" customWidth="1"/>
    <col min="8" max="16384" width="9.140625" style="516" customWidth="1"/>
  </cols>
  <sheetData>
    <row r="1" spans="1:7" s="515" customFormat="1" ht="15.75">
      <c r="A1" s="527" t="s">
        <v>469</v>
      </c>
      <c r="B1" s="527" t="s">
        <v>399</v>
      </c>
      <c r="C1" s="526"/>
      <c r="D1" s="527">
        <v>2011</v>
      </c>
      <c r="E1" s="527">
        <v>2012</v>
      </c>
      <c r="F1" s="527">
        <v>2013</v>
      </c>
      <c r="G1" s="527">
        <v>2014</v>
      </c>
    </row>
    <row r="2" spans="1:20" s="364" customFormat="1" ht="31.5">
      <c r="A2" s="523">
        <v>1</v>
      </c>
      <c r="B2" s="524" t="s">
        <v>470</v>
      </c>
      <c r="C2" s="47" t="s">
        <v>405</v>
      </c>
      <c r="D2" s="525">
        <f>D3+D6+D7+D8</f>
        <v>5632.771000000001</v>
      </c>
      <c r="E2" s="525">
        <f>E3+E6+E7+E8</f>
        <v>5786.294000000001</v>
      </c>
      <c r="F2" s="525">
        <f>F3+F6+F7+F8</f>
        <v>5797.477</v>
      </c>
      <c r="G2" s="525">
        <f>G3+G6+G7+G8</f>
        <v>6173.481555953683</v>
      </c>
      <c r="H2" s="430"/>
      <c r="I2" s="434"/>
      <c r="T2" s="364" t="e">
        <f>#REF!/G2*100</f>
        <v>#REF!</v>
      </c>
    </row>
    <row r="3" spans="1:9" s="364" customFormat="1" ht="15.75">
      <c r="A3" s="50"/>
      <c r="B3" s="377" t="s">
        <v>3</v>
      </c>
      <c r="C3" s="50" t="s">
        <v>405</v>
      </c>
      <c r="D3" s="498">
        <f>D4+D5</f>
        <v>3618.599</v>
      </c>
      <c r="E3" s="498">
        <f>E4+E5</f>
        <v>3670.608</v>
      </c>
      <c r="F3" s="498">
        <f>F4+F5</f>
        <v>3595.558</v>
      </c>
      <c r="G3" s="499">
        <f>G4+G5</f>
        <v>3744.344</v>
      </c>
      <c r="H3" s="430"/>
      <c r="I3" s="434"/>
    </row>
    <row r="4" spans="1:20" s="375" customFormat="1" ht="15.75">
      <c r="A4" s="381"/>
      <c r="B4" s="399" t="s">
        <v>408</v>
      </c>
      <c r="C4" s="381" t="s">
        <v>405</v>
      </c>
      <c r="D4" s="517">
        <v>2729.079</v>
      </c>
      <c r="E4" s="517">
        <v>2770.481</v>
      </c>
      <c r="F4" s="518">
        <v>2725.83</v>
      </c>
      <c r="G4" s="519">
        <v>2813.574</v>
      </c>
      <c r="H4" s="520"/>
      <c r="I4" s="521"/>
      <c r="T4" s="375" t="e">
        <f>#REF!*100/#REF!</f>
        <v>#REF!</v>
      </c>
    </row>
    <row r="5" spans="1:9" s="375" customFormat="1" ht="15.75">
      <c r="A5" s="381"/>
      <c r="B5" s="399" t="s">
        <v>409</v>
      </c>
      <c r="C5" s="381" t="s">
        <v>405</v>
      </c>
      <c r="D5" s="517">
        <v>889.52</v>
      </c>
      <c r="E5" s="517">
        <v>900.127</v>
      </c>
      <c r="F5" s="518">
        <v>869.728</v>
      </c>
      <c r="G5" s="519">
        <v>930.77</v>
      </c>
      <c r="H5" s="520"/>
      <c r="I5" s="521"/>
    </row>
    <row r="6" spans="1:20" s="364" customFormat="1" ht="15.75">
      <c r="A6" s="50"/>
      <c r="B6" s="377" t="s">
        <v>4</v>
      </c>
      <c r="C6" s="50" t="s">
        <v>405</v>
      </c>
      <c r="D6" s="502">
        <f>313.488-30.778</f>
        <v>282.71</v>
      </c>
      <c r="E6" s="502">
        <f>319.969-30.69</f>
        <v>289.279</v>
      </c>
      <c r="F6" s="502">
        <v>299.301</v>
      </c>
      <c r="G6" s="503">
        <v>350.856555953683</v>
      </c>
      <c r="H6" s="436"/>
      <c r="I6" s="434"/>
      <c r="T6" s="364" t="e">
        <f>#REF!/G6*100</f>
        <v>#REF!</v>
      </c>
    </row>
    <row r="7" spans="1:20" s="364" customFormat="1" ht="15.75">
      <c r="A7" s="50"/>
      <c r="B7" s="377" t="s">
        <v>5</v>
      </c>
      <c r="C7" s="50" t="s">
        <v>405</v>
      </c>
      <c r="D7" s="504">
        <v>1511.389</v>
      </c>
      <c r="E7" s="504">
        <v>1605.74</v>
      </c>
      <c r="F7" s="504">
        <v>1675.04</v>
      </c>
      <c r="G7" s="505">
        <v>1836.133</v>
      </c>
      <c r="H7" s="429"/>
      <c r="I7" s="434"/>
      <c r="T7" s="364" t="e">
        <f>#REF!/G7*100</f>
        <v>#REF!</v>
      </c>
    </row>
    <row r="8" spans="1:20" s="364" customFormat="1" ht="15.75">
      <c r="A8" s="50"/>
      <c r="B8" s="377" t="s">
        <v>6</v>
      </c>
      <c r="C8" s="50" t="s">
        <v>405</v>
      </c>
      <c r="D8" s="502">
        <f>D19+D34</f>
        <v>220.07299999999998</v>
      </c>
      <c r="E8" s="502">
        <f>E19+E34</f>
        <v>220.667</v>
      </c>
      <c r="F8" s="502">
        <f>F19+F34</f>
        <v>227.578</v>
      </c>
      <c r="G8" s="502">
        <f>G19+G34</f>
        <v>242.148</v>
      </c>
      <c r="H8" s="429"/>
      <c r="I8" s="434"/>
      <c r="T8" s="364" t="e">
        <f>#REF!/G8*100</f>
        <v>#REF!</v>
      </c>
    </row>
    <row r="9" spans="1:20" s="364" customFormat="1" ht="31.5">
      <c r="A9" s="50"/>
      <c r="B9" s="371" t="s">
        <v>470</v>
      </c>
      <c r="C9" s="369" t="s">
        <v>120</v>
      </c>
      <c r="D9" s="68">
        <f>D10+D13+D14+D15</f>
        <v>99.99999999999999</v>
      </c>
      <c r="E9" s="68">
        <f>E10+E13+E14+E15</f>
        <v>99.99999999999999</v>
      </c>
      <c r="F9" s="68">
        <f>F10+F13+F14+F15</f>
        <v>99.99999999999999</v>
      </c>
      <c r="G9" s="68">
        <f>G10+G13+G14+G15</f>
        <v>100</v>
      </c>
      <c r="H9" s="432"/>
      <c r="I9" s="433"/>
      <c r="J9" s="434"/>
      <c r="T9" s="364" t="e">
        <f>#REF!/G9*100</f>
        <v>#REF!</v>
      </c>
    </row>
    <row r="10" spans="1:20" s="364" customFormat="1" ht="15.75">
      <c r="A10" s="50"/>
      <c r="B10" s="377" t="s">
        <v>3</v>
      </c>
      <c r="C10" s="369" t="s">
        <v>120</v>
      </c>
      <c r="D10" s="68">
        <f>D3/D$2*100</f>
        <v>64.24189799301267</v>
      </c>
      <c r="E10" s="68">
        <f>E3/E$2*100</f>
        <v>63.4362512516647</v>
      </c>
      <c r="F10" s="68">
        <f>F3/F$2*100</f>
        <v>62.01935773095779</v>
      </c>
      <c r="G10" s="68">
        <f>G3/G$2*100</f>
        <v>60.652064253581</v>
      </c>
      <c r="H10" s="435"/>
      <c r="I10" s="433"/>
      <c r="J10" s="434"/>
      <c r="T10" s="364" t="e">
        <f>#REF!/G10*100</f>
        <v>#REF!</v>
      </c>
    </row>
    <row r="11" spans="1:20" s="364" customFormat="1" ht="15.75">
      <c r="A11" s="50"/>
      <c r="B11" s="399" t="s">
        <v>408</v>
      </c>
      <c r="C11" s="369" t="s">
        <v>120</v>
      </c>
      <c r="D11" s="68">
        <f aca="true" t="shared" si="0" ref="D11:G12">D4/D$3*100</f>
        <v>75.41811071080272</v>
      </c>
      <c r="E11" s="68">
        <f t="shared" si="0"/>
        <v>75.47744133941843</v>
      </c>
      <c r="F11" s="68">
        <f t="shared" si="0"/>
        <v>75.811042402876</v>
      </c>
      <c r="G11" s="68">
        <f t="shared" si="0"/>
        <v>75.14197413485513</v>
      </c>
      <c r="H11" s="507"/>
      <c r="I11" s="508"/>
      <c r="J11" s="509"/>
      <c r="T11" s="364" t="e">
        <f>#REF!/G11*100</f>
        <v>#REF!</v>
      </c>
    </row>
    <row r="12" spans="1:20" s="364" customFormat="1" ht="15.75">
      <c r="A12" s="50"/>
      <c r="B12" s="399" t="s">
        <v>409</v>
      </c>
      <c r="C12" s="369" t="s">
        <v>120</v>
      </c>
      <c r="D12" s="68">
        <f t="shared" si="0"/>
        <v>24.58188928919728</v>
      </c>
      <c r="E12" s="68">
        <f t="shared" si="0"/>
        <v>24.52255866058157</v>
      </c>
      <c r="F12" s="68">
        <f t="shared" si="0"/>
        <v>24.188957597124006</v>
      </c>
      <c r="G12" s="68">
        <f t="shared" si="0"/>
        <v>24.858025865144867</v>
      </c>
      <c r="H12" s="510"/>
      <c r="I12" s="509"/>
      <c r="T12" s="364" t="e">
        <f>#REF!/G12*100</f>
        <v>#REF!</v>
      </c>
    </row>
    <row r="13" spans="1:20" s="364" customFormat="1" ht="15.75">
      <c r="A13" s="50"/>
      <c r="B13" s="377" t="s">
        <v>4</v>
      </c>
      <c r="C13" s="369" t="s">
        <v>120</v>
      </c>
      <c r="D13" s="68">
        <f aca="true" t="shared" si="1" ref="D13:G15">D6/D$2*100</f>
        <v>5.019021721280698</v>
      </c>
      <c r="E13" s="68">
        <f t="shared" si="1"/>
        <v>4.999383024782356</v>
      </c>
      <c r="F13" s="68">
        <f t="shared" si="1"/>
        <v>5.162607803359979</v>
      </c>
      <c r="G13" s="68">
        <f t="shared" si="1"/>
        <v>5.683285076235763</v>
      </c>
      <c r="H13" s="436"/>
      <c r="I13" s="434"/>
      <c r="T13" s="364" t="e">
        <f>#REF!/G13*100</f>
        <v>#REF!</v>
      </c>
    </row>
    <row r="14" spans="1:20" s="364" customFormat="1" ht="15.75">
      <c r="A14" s="50"/>
      <c r="B14" s="377" t="s">
        <v>5</v>
      </c>
      <c r="C14" s="369" t="s">
        <v>120</v>
      </c>
      <c r="D14" s="68">
        <f t="shared" si="1"/>
        <v>26.83206897635284</v>
      </c>
      <c r="E14" s="68">
        <f t="shared" si="1"/>
        <v>27.750750307537082</v>
      </c>
      <c r="F14" s="68">
        <f t="shared" si="1"/>
        <v>28.89256826719623</v>
      </c>
      <c r="G14" s="68">
        <f t="shared" si="1"/>
        <v>29.74226104602581</v>
      </c>
      <c r="H14" s="429"/>
      <c r="I14" s="434"/>
      <c r="T14" s="364" t="e">
        <f>#REF!/G14*100</f>
        <v>#REF!</v>
      </c>
    </row>
    <row r="15" spans="1:20" s="364" customFormat="1" ht="15.75">
      <c r="A15" s="50"/>
      <c r="B15" s="377" t="s">
        <v>466</v>
      </c>
      <c r="C15" s="369" t="s">
        <v>120</v>
      </c>
      <c r="D15" s="68">
        <f t="shared" si="1"/>
        <v>3.9070113093537793</v>
      </c>
      <c r="E15" s="68">
        <f t="shared" si="1"/>
        <v>3.8136154160158466</v>
      </c>
      <c r="F15" s="68">
        <f t="shared" si="1"/>
        <v>3.9254661984859966</v>
      </c>
      <c r="G15" s="68">
        <f t="shared" si="1"/>
        <v>3.922389624157431</v>
      </c>
      <c r="H15" s="429"/>
      <c r="I15" s="434"/>
      <c r="T15" s="364" t="e">
        <f>#REF!/G15*100</f>
        <v>#REF!</v>
      </c>
    </row>
    <row r="16" spans="1:20" s="364" customFormat="1" ht="31.5">
      <c r="A16" s="369">
        <v>2</v>
      </c>
      <c r="B16" s="371" t="s">
        <v>467</v>
      </c>
      <c r="C16" s="50" t="s">
        <v>405</v>
      </c>
      <c r="D16" s="478">
        <f>SUM(D17:D19)</f>
        <v>3807.8940000000002</v>
      </c>
      <c r="E16" s="478">
        <f>SUM(E17:E19)</f>
        <v>3860.585</v>
      </c>
      <c r="F16" s="478">
        <f>SUM(F17:F19)</f>
        <v>3789.462</v>
      </c>
      <c r="G16" s="478">
        <f>SUM(G17:G19)</f>
        <v>3951.123</v>
      </c>
      <c r="H16" s="430"/>
      <c r="I16" s="434"/>
      <c r="T16" s="364" t="e">
        <f>#REF!/G16*100</f>
        <v>#REF!</v>
      </c>
    </row>
    <row r="17" spans="1:20" s="375" customFormat="1" ht="15.75">
      <c r="A17" s="381"/>
      <c r="B17" s="378" t="s">
        <v>408</v>
      </c>
      <c r="C17" s="50" t="s">
        <v>405</v>
      </c>
      <c r="D17" s="501">
        <v>2729.079</v>
      </c>
      <c r="E17" s="501">
        <v>2770.481</v>
      </c>
      <c r="F17" s="414">
        <v>2725.83</v>
      </c>
      <c r="G17" s="500">
        <v>2813.574</v>
      </c>
      <c r="H17" s="430"/>
      <c r="I17" s="434"/>
      <c r="T17" s="375" t="e">
        <f>#REF!*100/#REF!</f>
        <v>#REF!</v>
      </c>
    </row>
    <row r="18" spans="1:9" s="375" customFormat="1" ht="15.75">
      <c r="A18" s="381"/>
      <c r="B18" s="378" t="s">
        <v>409</v>
      </c>
      <c r="C18" s="50" t="s">
        <v>405</v>
      </c>
      <c r="D18" s="501">
        <v>889.52</v>
      </c>
      <c r="E18" s="501">
        <v>900.127</v>
      </c>
      <c r="F18" s="414">
        <v>869.728</v>
      </c>
      <c r="G18" s="500">
        <v>930.77</v>
      </c>
      <c r="H18" s="430"/>
      <c r="I18" s="434"/>
    </row>
    <row r="19" spans="1:20" s="364" customFormat="1" ht="15.75">
      <c r="A19" s="50"/>
      <c r="B19" s="377" t="s">
        <v>468</v>
      </c>
      <c r="C19" s="50" t="s">
        <v>405</v>
      </c>
      <c r="D19" s="502">
        <v>189.295</v>
      </c>
      <c r="E19" s="502">
        <v>189.977</v>
      </c>
      <c r="F19" s="502">
        <v>193.904</v>
      </c>
      <c r="G19" s="503">
        <v>206.779</v>
      </c>
      <c r="H19" s="429"/>
      <c r="I19" s="434"/>
      <c r="T19" s="364" t="e">
        <f>#REF!/G19*100</f>
        <v>#REF!</v>
      </c>
    </row>
    <row r="20" spans="1:20" s="364" customFormat="1" ht="31.5">
      <c r="A20" s="50"/>
      <c r="B20" s="371" t="s">
        <v>467</v>
      </c>
      <c r="C20" s="369" t="s">
        <v>120</v>
      </c>
      <c r="D20" s="68">
        <f>D21+D22+D23</f>
        <v>100</v>
      </c>
      <c r="E20" s="68">
        <f>E21+E22+E23</f>
        <v>100</v>
      </c>
      <c r="F20" s="68">
        <f>F21+F22+F23</f>
        <v>99.99999999999999</v>
      </c>
      <c r="G20" s="68">
        <f>G21+G22+G23</f>
        <v>100</v>
      </c>
      <c r="H20" s="432"/>
      <c r="I20" s="433"/>
      <c r="J20" s="434"/>
      <c r="T20" s="364" t="e">
        <f>#REF!/G20*100</f>
        <v>#REF!</v>
      </c>
    </row>
    <row r="21" spans="1:20" s="364" customFormat="1" ht="15.75">
      <c r="A21" s="50"/>
      <c r="B21" s="378" t="s">
        <v>408</v>
      </c>
      <c r="C21" s="369" t="s">
        <v>120</v>
      </c>
      <c r="D21" s="522">
        <f>D17/D$16*100</f>
        <v>71.66898553373598</v>
      </c>
      <c r="E21" s="522">
        <f>E17/E$16*100</f>
        <v>71.76324313543155</v>
      </c>
      <c r="F21" s="522">
        <f>F17/F$16*100</f>
        <v>71.93184678986093</v>
      </c>
      <c r="G21" s="522">
        <f>G17/G$16*100</f>
        <v>71.20947639443267</v>
      </c>
      <c r="H21" s="507"/>
      <c r="I21" s="508"/>
      <c r="J21" s="509"/>
      <c r="T21" s="364" t="e">
        <f>#REF!/G21*100</f>
        <v>#REF!</v>
      </c>
    </row>
    <row r="22" spans="1:20" s="364" customFormat="1" ht="15.75">
      <c r="A22" s="50"/>
      <c r="B22" s="378" t="s">
        <v>409</v>
      </c>
      <c r="C22" s="369" t="s">
        <v>120</v>
      </c>
      <c r="D22" s="522">
        <f aca="true" t="shared" si="2" ref="D22:G23">D18/D$16*100</f>
        <v>23.359893946627714</v>
      </c>
      <c r="E22" s="522">
        <f t="shared" si="2"/>
        <v>23.315818716593466</v>
      </c>
      <c r="F22" s="522">
        <f t="shared" si="2"/>
        <v>22.951226321836714</v>
      </c>
      <c r="G22" s="522">
        <f t="shared" si="2"/>
        <v>23.557100095339983</v>
      </c>
      <c r="H22" s="510"/>
      <c r="I22" s="509"/>
      <c r="T22" s="364" t="e">
        <f>#REF!/G22*100</f>
        <v>#REF!</v>
      </c>
    </row>
    <row r="23" spans="1:20" s="364" customFormat="1" ht="15.75">
      <c r="A23" s="50"/>
      <c r="B23" s="377" t="s">
        <v>468</v>
      </c>
      <c r="C23" s="369" t="s">
        <v>120</v>
      </c>
      <c r="D23" s="522">
        <f t="shared" si="2"/>
        <v>4.971120519636313</v>
      </c>
      <c r="E23" s="522">
        <f t="shared" si="2"/>
        <v>4.920938147974983</v>
      </c>
      <c r="F23" s="522">
        <f t="shared" si="2"/>
        <v>5.11692688830235</v>
      </c>
      <c r="G23" s="522">
        <f t="shared" si="2"/>
        <v>5.233423510227345</v>
      </c>
      <c r="H23" s="429"/>
      <c r="I23" s="434"/>
      <c r="T23" s="364" t="e">
        <f>#REF!/G23*100</f>
        <v>#REF!</v>
      </c>
    </row>
    <row r="24" spans="1:20" s="364" customFormat="1" ht="31.5">
      <c r="A24" s="369">
        <v>3</v>
      </c>
      <c r="B24" s="371" t="s">
        <v>471</v>
      </c>
      <c r="C24" s="50" t="s">
        <v>405</v>
      </c>
      <c r="D24" s="478">
        <f>D25+D26</f>
        <v>1511.3890000000001</v>
      </c>
      <c r="E24" s="478">
        <f>E25+E26</f>
        <v>1605.74</v>
      </c>
      <c r="F24" s="478">
        <f>F25+F26</f>
        <v>1675.04</v>
      </c>
      <c r="G24" s="478">
        <f>G25+G26</f>
        <v>1836.133</v>
      </c>
      <c r="H24" s="430"/>
      <c r="I24" s="434"/>
      <c r="T24" s="364" t="e">
        <f>#REF!/G24*100</f>
        <v>#REF!</v>
      </c>
    </row>
    <row r="25" spans="1:20" s="375" customFormat="1" ht="15.75">
      <c r="A25" s="381"/>
      <c r="B25" s="378" t="s">
        <v>472</v>
      </c>
      <c r="C25" s="50" t="s">
        <v>405</v>
      </c>
      <c r="D25" s="501">
        <v>945.741</v>
      </c>
      <c r="E25" s="501">
        <v>975.271</v>
      </c>
      <c r="F25" s="414">
        <v>987.434</v>
      </c>
      <c r="G25" s="500">
        <v>1015.984</v>
      </c>
      <c r="H25" s="430"/>
      <c r="I25" s="434"/>
      <c r="T25" s="375" t="e">
        <f>#REF!*100/#REF!</f>
        <v>#REF!</v>
      </c>
    </row>
    <row r="26" spans="1:9" s="375" customFormat="1" ht="15.75">
      <c r="A26" s="381"/>
      <c r="B26" s="378" t="s">
        <v>473</v>
      </c>
      <c r="C26" s="50" t="s">
        <v>405</v>
      </c>
      <c r="D26" s="501">
        <v>565.648</v>
      </c>
      <c r="E26" s="501">
        <v>630.469</v>
      </c>
      <c r="F26" s="414">
        <v>687.606</v>
      </c>
      <c r="G26" s="500">
        <v>820.149</v>
      </c>
      <c r="H26" s="430"/>
      <c r="I26" s="434"/>
    </row>
    <row r="27" spans="1:20" s="364" customFormat="1" ht="31.5">
      <c r="A27" s="50"/>
      <c r="B27" s="371" t="s">
        <v>471</v>
      </c>
      <c r="C27" s="369" t="s">
        <v>120</v>
      </c>
      <c r="D27" s="68">
        <f>D28+D29</f>
        <v>100</v>
      </c>
      <c r="E27" s="68">
        <f>E28+E29</f>
        <v>100</v>
      </c>
      <c r="F27" s="68">
        <f>F28+F29</f>
        <v>100</v>
      </c>
      <c r="G27" s="68">
        <f>G28+G29</f>
        <v>100</v>
      </c>
      <c r="H27" s="432"/>
      <c r="I27" s="433"/>
      <c r="J27" s="434"/>
      <c r="T27" s="364" t="e">
        <f>#REF!/G27*100</f>
        <v>#REF!</v>
      </c>
    </row>
    <row r="28" spans="1:20" s="364" customFormat="1" ht="15.75">
      <c r="A28" s="50"/>
      <c r="B28" s="378" t="s">
        <v>472</v>
      </c>
      <c r="C28" s="369" t="s">
        <v>120</v>
      </c>
      <c r="D28" s="68">
        <f aca="true" t="shared" si="3" ref="D28:G29">D25/D$24*100</f>
        <v>62.57429424191918</v>
      </c>
      <c r="E28" s="68">
        <f t="shared" si="3"/>
        <v>60.73654514429484</v>
      </c>
      <c r="F28" s="68">
        <f t="shared" si="3"/>
        <v>58.94987582386092</v>
      </c>
      <c r="G28" s="68">
        <f t="shared" si="3"/>
        <v>55.33281085847267</v>
      </c>
      <c r="H28" s="435"/>
      <c r="I28" s="433"/>
      <c r="J28" s="434"/>
      <c r="T28" s="364" t="e">
        <f>#REF!/G28*100</f>
        <v>#REF!</v>
      </c>
    </row>
    <row r="29" spans="1:20" s="364" customFormat="1" ht="15.75">
      <c r="A29" s="50"/>
      <c r="B29" s="378" t="s">
        <v>473</v>
      </c>
      <c r="C29" s="369" t="s">
        <v>120</v>
      </c>
      <c r="D29" s="68">
        <f t="shared" si="3"/>
        <v>37.42570575808081</v>
      </c>
      <c r="E29" s="68">
        <f t="shared" si="3"/>
        <v>39.26345485570516</v>
      </c>
      <c r="F29" s="68">
        <f t="shared" si="3"/>
        <v>41.05012417613908</v>
      </c>
      <c r="G29" s="68">
        <f t="shared" si="3"/>
        <v>44.66718914152733</v>
      </c>
      <c r="H29" s="507"/>
      <c r="I29" s="508"/>
      <c r="J29" s="509"/>
      <c r="T29" s="364" t="e">
        <f>#REF!/G29*100</f>
        <v>#REF!</v>
      </c>
    </row>
    <row r="30" spans="1:20" s="364" customFormat="1" ht="31.5">
      <c r="A30" s="369">
        <v>4</v>
      </c>
      <c r="B30" s="371" t="s">
        <v>474</v>
      </c>
      <c r="C30" s="50" t="s">
        <v>405</v>
      </c>
      <c r="D30" s="478">
        <f>SUM(D31:D34)</f>
        <v>313.488</v>
      </c>
      <c r="E30" s="478">
        <f>SUM(E31:E34)</f>
        <v>319.96799999999996</v>
      </c>
      <c r="F30" s="478">
        <f>SUM(F31:F34)</f>
        <v>332.875</v>
      </c>
      <c r="G30" s="478">
        <f>SUM(G31:G34)</f>
        <v>385.389</v>
      </c>
      <c r="H30" s="430"/>
      <c r="I30" s="434"/>
      <c r="T30" s="364" t="e">
        <f>#REF!/G30*100</f>
        <v>#REF!</v>
      </c>
    </row>
    <row r="31" spans="1:20" s="364" customFormat="1" ht="15.75">
      <c r="A31" s="50"/>
      <c r="B31" s="378" t="s">
        <v>475</v>
      </c>
      <c r="C31" s="50" t="s">
        <v>405</v>
      </c>
      <c r="D31" s="501">
        <v>52.762</v>
      </c>
      <c r="E31" s="501">
        <v>53.722</v>
      </c>
      <c r="F31" s="414">
        <v>54.463</v>
      </c>
      <c r="G31" s="500">
        <v>53.038</v>
      </c>
      <c r="H31" s="512"/>
      <c r="I31" s="509"/>
      <c r="T31" s="364" t="e">
        <f>#REF!*100/#REF!</f>
        <v>#REF!</v>
      </c>
    </row>
    <row r="32" spans="1:9" s="364" customFormat="1" ht="15.75">
      <c r="A32" s="50"/>
      <c r="B32" s="378" t="s">
        <v>476</v>
      </c>
      <c r="C32" s="50" t="s">
        <v>405</v>
      </c>
      <c r="D32" s="501">
        <v>215.326</v>
      </c>
      <c r="E32" s="501">
        <v>221.837</v>
      </c>
      <c r="F32" s="414">
        <v>232.252</v>
      </c>
      <c r="G32" s="500">
        <v>284.98</v>
      </c>
      <c r="H32" s="512"/>
      <c r="I32" s="509"/>
    </row>
    <row r="33" spans="1:20" s="364" customFormat="1" ht="15.75">
      <c r="A33" s="50"/>
      <c r="B33" s="377" t="s">
        <v>477</v>
      </c>
      <c r="C33" s="50" t="s">
        <v>405</v>
      </c>
      <c r="D33" s="502">
        <v>14.622</v>
      </c>
      <c r="E33" s="502">
        <v>13.719</v>
      </c>
      <c r="F33" s="502">
        <v>12.486</v>
      </c>
      <c r="G33" s="503">
        <v>12.002</v>
      </c>
      <c r="H33" s="508"/>
      <c r="I33" s="509"/>
      <c r="T33" s="364" t="e">
        <f>#REF!/G33*100</f>
        <v>#REF!</v>
      </c>
    </row>
    <row r="34" spans="1:9" s="364" customFormat="1" ht="15.75">
      <c r="A34" s="50"/>
      <c r="B34" s="377" t="s">
        <v>478</v>
      </c>
      <c r="C34" s="50" t="s">
        <v>405</v>
      </c>
      <c r="D34" s="502">
        <v>30.778</v>
      </c>
      <c r="E34" s="502">
        <v>30.69</v>
      </c>
      <c r="F34" s="502">
        <v>33.674</v>
      </c>
      <c r="G34" s="503">
        <v>35.369</v>
      </c>
      <c r="H34" s="508"/>
      <c r="I34" s="509"/>
    </row>
    <row r="35" spans="1:20" s="364" customFormat="1" ht="31.5">
      <c r="A35" s="50"/>
      <c r="B35" s="371" t="s">
        <v>474</v>
      </c>
      <c r="C35" s="369" t="s">
        <v>120</v>
      </c>
      <c r="D35" s="68">
        <f>SUM(D36:D39)</f>
        <v>100.00000000000001</v>
      </c>
      <c r="E35" s="68">
        <f>SUM(E36:E39)</f>
        <v>100.00000000000001</v>
      </c>
      <c r="F35" s="68">
        <f>SUM(F36:F39)</f>
        <v>100</v>
      </c>
      <c r="G35" s="68">
        <f>SUM(G36:G39)</f>
        <v>100.00000000000001</v>
      </c>
      <c r="H35" s="513"/>
      <c r="I35" s="514"/>
      <c r="J35" s="509"/>
      <c r="T35" s="364" t="e">
        <f>#REF!/G35*100</f>
        <v>#REF!</v>
      </c>
    </row>
    <row r="36" spans="1:20" s="364" customFormat="1" ht="15.75">
      <c r="A36" s="50"/>
      <c r="B36" s="378" t="s">
        <v>475</v>
      </c>
      <c r="C36" s="369" t="s">
        <v>120</v>
      </c>
      <c r="D36" s="522">
        <f>D31/D$30*100</f>
        <v>16.83062828561221</v>
      </c>
      <c r="E36" s="522">
        <f>E31/E$30*100</f>
        <v>16.78980398039804</v>
      </c>
      <c r="F36" s="522">
        <f>F31/F$30*100</f>
        <v>16.36139692076605</v>
      </c>
      <c r="G36" s="522">
        <f>G31/G$30*100</f>
        <v>13.762198713507651</v>
      </c>
      <c r="H36" s="512"/>
      <c r="I36" s="509"/>
      <c r="T36" s="364" t="e">
        <f>#REF!*100/#REF!</f>
        <v>#REF!</v>
      </c>
    </row>
    <row r="37" spans="1:9" s="364" customFormat="1" ht="15.75">
      <c r="A37" s="50"/>
      <c r="B37" s="378" t="s">
        <v>476</v>
      </c>
      <c r="C37" s="369" t="s">
        <v>120</v>
      </c>
      <c r="D37" s="522">
        <f aca="true" t="shared" si="4" ref="D37:G39">D32/D$30*100</f>
        <v>68.6871586791201</v>
      </c>
      <c r="E37" s="522">
        <f t="shared" si="4"/>
        <v>69.33099559955997</v>
      </c>
      <c r="F37" s="522">
        <f t="shared" si="4"/>
        <v>69.77153586181</v>
      </c>
      <c r="G37" s="522">
        <f t="shared" si="4"/>
        <v>73.94606488509014</v>
      </c>
      <c r="H37" s="512"/>
      <c r="I37" s="509"/>
    </row>
    <row r="38" spans="1:20" s="364" customFormat="1" ht="15.75">
      <c r="A38" s="50"/>
      <c r="B38" s="377" t="s">
        <v>477</v>
      </c>
      <c r="C38" s="369" t="s">
        <v>120</v>
      </c>
      <c r="D38" s="522">
        <f t="shared" si="4"/>
        <v>4.664293370081152</v>
      </c>
      <c r="E38" s="522">
        <f t="shared" si="4"/>
        <v>4.287616261626162</v>
      </c>
      <c r="F38" s="522">
        <f t="shared" si="4"/>
        <v>3.75095756665415</v>
      </c>
      <c r="G38" s="522">
        <f t="shared" si="4"/>
        <v>3.1142559855107437</v>
      </c>
      <c r="H38" s="508"/>
      <c r="I38" s="509"/>
      <c r="T38" s="364" t="e">
        <f>#REF!/G38*100</f>
        <v>#REF!</v>
      </c>
    </row>
    <row r="39" spans="1:9" s="364" customFormat="1" ht="15.75">
      <c r="A39" s="50"/>
      <c r="B39" s="377" t="s">
        <v>478</v>
      </c>
      <c r="C39" s="369" t="s">
        <v>120</v>
      </c>
      <c r="D39" s="522">
        <f t="shared" si="4"/>
        <v>9.817919665186546</v>
      </c>
      <c r="E39" s="522">
        <f t="shared" si="4"/>
        <v>9.591584158415843</v>
      </c>
      <c r="F39" s="522">
        <f t="shared" si="4"/>
        <v>10.116109650769808</v>
      </c>
      <c r="G39" s="522">
        <f t="shared" si="4"/>
        <v>9.177480415891475</v>
      </c>
      <c r="H39" s="508"/>
      <c r="I39" s="509"/>
    </row>
    <row r="47" ht="13.5" thickBot="1"/>
    <row r="48" spans="1:3" ht="19.5" thickBot="1">
      <c r="A48" s="786" t="s">
        <v>495</v>
      </c>
      <c r="B48" s="787" t="s">
        <v>496</v>
      </c>
      <c r="C48" s="788">
        <v>335172.96</v>
      </c>
    </row>
    <row r="49" spans="1:3" ht="19.5" thickBot="1">
      <c r="A49" s="789">
        <v>1</v>
      </c>
      <c r="B49" s="790" t="s">
        <v>497</v>
      </c>
      <c r="C49" s="791">
        <v>144088.77</v>
      </c>
    </row>
    <row r="50" spans="1:3" ht="37.5" thickBot="1">
      <c r="A50" s="792" t="s">
        <v>498</v>
      </c>
      <c r="B50" s="793" t="s">
        <v>499</v>
      </c>
      <c r="C50" s="794">
        <v>59066.41</v>
      </c>
    </row>
    <row r="51" spans="1:4" ht="19.5" thickBot="1">
      <c r="A51" s="792" t="s">
        <v>500</v>
      </c>
      <c r="B51" s="793" t="s">
        <v>501</v>
      </c>
      <c r="C51" s="794">
        <v>62641.24</v>
      </c>
      <c r="D51" s="797">
        <f>C51+C50</f>
        <v>121707.65</v>
      </c>
    </row>
    <row r="52" spans="1:4" ht="37.5" thickBot="1">
      <c r="A52" s="792" t="s">
        <v>502</v>
      </c>
      <c r="B52" s="793" t="s">
        <v>503</v>
      </c>
      <c r="C52" s="794">
        <v>2817.87</v>
      </c>
      <c r="D52" s="797"/>
    </row>
    <row r="53" spans="1:4" ht="19.5" thickBot="1">
      <c r="A53" s="792" t="s">
        <v>504</v>
      </c>
      <c r="B53" s="793" t="s">
        <v>505</v>
      </c>
      <c r="C53" s="794">
        <v>19563.25</v>
      </c>
      <c r="D53" s="797"/>
    </row>
    <row r="54" spans="1:4" ht="19.5" thickBot="1">
      <c r="A54" s="789">
        <v>2</v>
      </c>
      <c r="B54" s="790" t="s">
        <v>506</v>
      </c>
      <c r="C54" s="791">
        <v>100058.44</v>
      </c>
      <c r="D54" s="797"/>
    </row>
    <row r="55" spans="1:4" ht="37.5" thickBot="1">
      <c r="A55" s="792" t="s">
        <v>507</v>
      </c>
      <c r="B55" s="793" t="s">
        <v>508</v>
      </c>
      <c r="C55" s="794">
        <v>81992.33</v>
      </c>
      <c r="D55" s="797"/>
    </row>
    <row r="56" spans="1:4" ht="19.5" thickBot="1">
      <c r="A56" s="792" t="s">
        <v>509</v>
      </c>
      <c r="B56" s="793" t="s">
        <v>510</v>
      </c>
      <c r="C56" s="794">
        <v>13205.99</v>
      </c>
      <c r="D56" s="797">
        <f>C56+C55</f>
        <v>95198.32</v>
      </c>
    </row>
    <row r="57" spans="1:4" ht="37.5" thickBot="1">
      <c r="A57" s="792" t="s">
        <v>511</v>
      </c>
      <c r="B57" s="793" t="s">
        <v>512</v>
      </c>
      <c r="C57" s="794">
        <v>3227.82</v>
      </c>
      <c r="D57" s="797"/>
    </row>
    <row r="58" spans="1:4" ht="19.5" thickBot="1">
      <c r="A58" s="792" t="s">
        <v>513</v>
      </c>
      <c r="B58" s="793" t="s">
        <v>514</v>
      </c>
      <c r="C58" s="794">
        <v>1632.3</v>
      </c>
      <c r="D58" s="797"/>
    </row>
    <row r="59" spans="1:4" ht="19.5" thickBot="1">
      <c r="A59" s="789">
        <v>3</v>
      </c>
      <c r="B59" s="790" t="s">
        <v>515</v>
      </c>
      <c r="C59" s="791">
        <v>91025.75</v>
      </c>
      <c r="D59" s="797"/>
    </row>
    <row r="60" spans="1:4" ht="37.5" thickBot="1">
      <c r="A60" s="792" t="s">
        <v>516</v>
      </c>
      <c r="B60" s="793" t="s">
        <v>517</v>
      </c>
      <c r="C60" s="794">
        <v>80580.01</v>
      </c>
      <c r="D60" s="797"/>
    </row>
    <row r="61" spans="1:4" ht="19.5" thickBot="1">
      <c r="A61" s="792" t="s">
        <v>518</v>
      </c>
      <c r="B61" s="795" t="s">
        <v>519</v>
      </c>
      <c r="C61" s="796">
        <v>1340.65</v>
      </c>
      <c r="D61" s="797">
        <f>C61+C60</f>
        <v>81920.65999999999</v>
      </c>
    </row>
    <row r="62" spans="1:3" ht="37.5" thickBot="1">
      <c r="A62" s="792" t="s">
        <v>520</v>
      </c>
      <c r="B62" s="795" t="s">
        <v>521</v>
      </c>
      <c r="C62" s="794">
        <v>5218.25</v>
      </c>
    </row>
    <row r="63" spans="1:3" ht="19.5" thickBot="1">
      <c r="A63" s="792" t="s">
        <v>522</v>
      </c>
      <c r="B63" s="795" t="s">
        <v>523</v>
      </c>
      <c r="C63" s="794">
        <v>3886.84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J163"/>
  <sheetViews>
    <sheetView zoomScale="70" zoomScaleNormal="70" zoomScalePageLayoutView="0" workbookViewId="0" topLeftCell="A4">
      <pane ySplit="1" topLeftCell="BM5" activePane="bottomLeft" state="frozen"/>
      <selection pane="topLeft" activeCell="A4" sqref="A4"/>
      <selection pane="bottomLeft" activeCell="B15" sqref="B15"/>
    </sheetView>
  </sheetViews>
  <sheetFormatPr defaultColWidth="9.140625" defaultRowHeight="12.75"/>
  <cols>
    <col min="1" max="1" width="5.8515625" style="368" customWidth="1"/>
    <col min="2" max="2" width="42.7109375" style="365" customWidth="1"/>
    <col min="3" max="3" width="12.140625" style="366" customWidth="1"/>
    <col min="4" max="4" width="12.421875" style="366" customWidth="1"/>
    <col min="5" max="5" width="1.57421875" style="366" hidden="1" customWidth="1"/>
    <col min="6" max="6" width="13.28125" style="364" customWidth="1"/>
    <col min="7" max="7" width="14.00390625" style="364" customWidth="1"/>
    <col min="8" max="8" width="14.28125" style="364" customWidth="1"/>
    <col min="9" max="9" width="13.57421875" style="364" customWidth="1"/>
    <col min="10" max="10" width="14.57421875" style="364" customWidth="1"/>
    <col min="11" max="11" width="15.140625" style="419" customWidth="1"/>
    <col min="12" max="12" width="13.421875" style="364" customWidth="1"/>
    <col min="13" max="14" width="13.28125" style="364" customWidth="1"/>
    <col min="15" max="15" width="13.421875" style="364" customWidth="1"/>
    <col min="16" max="16" width="13.7109375" style="364" customWidth="1"/>
    <col min="17" max="17" width="14.8515625" style="363" customWidth="1"/>
    <col min="18" max="18" width="0.13671875" style="364" hidden="1" customWidth="1"/>
    <col min="19" max="19" width="16.421875" style="363" hidden="1" customWidth="1"/>
    <col min="20" max="20" width="21.421875" style="364" hidden="1" customWidth="1"/>
    <col min="21" max="21" width="11.57421875" style="364" hidden="1" customWidth="1"/>
    <col min="22" max="22" width="7.7109375" style="364" hidden="1" customWidth="1"/>
    <col min="23" max="23" width="11.28125" style="364" hidden="1" customWidth="1"/>
    <col min="24" max="24" width="13.28125" style="364" hidden="1" customWidth="1"/>
    <col min="25" max="28" width="9.140625" style="364" hidden="1" customWidth="1"/>
    <col min="29" max="29" width="8.421875" style="364" customWidth="1"/>
    <col min="30" max="30" width="4.57421875" style="364" customWidth="1"/>
    <col min="31" max="31" width="18.57421875" style="364" customWidth="1"/>
    <col min="32" max="16384" width="9.140625" style="364" customWidth="1"/>
  </cols>
  <sheetData>
    <row r="1" spans="1:17" ht="16.5">
      <c r="A1" s="811" t="s">
        <v>463</v>
      </c>
      <c r="B1" s="811"/>
      <c r="C1" s="811"/>
      <c r="D1" s="811"/>
      <c r="E1" s="811"/>
      <c r="F1" s="811"/>
      <c r="G1" s="811"/>
      <c r="H1" s="811"/>
      <c r="I1" s="811"/>
      <c r="J1" s="811"/>
      <c r="K1" s="811"/>
      <c r="L1" s="811"/>
      <c r="M1" s="811"/>
      <c r="N1" s="811"/>
      <c r="O1" s="811"/>
      <c r="P1" s="811"/>
      <c r="Q1" s="811"/>
    </row>
    <row r="2" spans="1:17" ht="18.75">
      <c r="A2" s="812" t="s">
        <v>462</v>
      </c>
      <c r="B2" s="812"/>
      <c r="C2" s="812"/>
      <c r="D2" s="812"/>
      <c r="E2" s="812"/>
      <c r="F2" s="812"/>
      <c r="G2" s="812"/>
      <c r="H2" s="812"/>
      <c r="I2" s="812"/>
      <c r="J2" s="812"/>
      <c r="K2" s="812"/>
      <c r="L2" s="812"/>
      <c r="M2" s="812"/>
      <c r="N2" s="812"/>
      <c r="O2" s="812"/>
      <c r="P2" s="812"/>
      <c r="Q2" s="812"/>
    </row>
    <row r="3" spans="1:17" ht="18.75">
      <c r="A3" s="813"/>
      <c r="B3" s="813"/>
      <c r="C3" s="813"/>
      <c r="D3" s="813"/>
      <c r="E3" s="813"/>
      <c r="F3" s="813"/>
      <c r="G3" s="813"/>
      <c r="H3" s="813"/>
      <c r="I3" s="813"/>
      <c r="J3" s="813"/>
      <c r="K3" s="813"/>
      <c r="L3" s="813"/>
      <c r="M3" s="813"/>
      <c r="N3" s="813"/>
      <c r="O3" s="813"/>
      <c r="P3" s="813"/>
      <c r="Q3" s="813"/>
    </row>
    <row r="4" spans="1:17" s="367" customFormat="1" ht="42" customHeight="1">
      <c r="A4" s="534" t="s">
        <v>115</v>
      </c>
      <c r="B4" s="534" t="s">
        <v>399</v>
      </c>
      <c r="C4" s="534" t="s">
        <v>297</v>
      </c>
      <c r="D4" s="534" t="s">
        <v>0</v>
      </c>
      <c r="E4" s="534" t="s">
        <v>0</v>
      </c>
      <c r="F4" s="534" t="s">
        <v>400</v>
      </c>
      <c r="G4" s="534" t="s">
        <v>401</v>
      </c>
      <c r="H4" s="534" t="s">
        <v>402</v>
      </c>
      <c r="I4" s="534" t="s">
        <v>461</v>
      </c>
      <c r="J4" s="534" t="s">
        <v>403</v>
      </c>
      <c r="K4" s="534" t="s">
        <v>427</v>
      </c>
      <c r="L4" s="534" t="s">
        <v>421</v>
      </c>
      <c r="M4" s="534" t="s">
        <v>422</v>
      </c>
      <c r="N4" s="534" t="s">
        <v>423</v>
      </c>
      <c r="O4" s="534" t="s">
        <v>424</v>
      </c>
      <c r="P4" s="534" t="s">
        <v>425</v>
      </c>
      <c r="Q4" s="534" t="s">
        <v>426</v>
      </c>
    </row>
    <row r="5" spans="1:17" s="367" customFormat="1" ht="33">
      <c r="A5" s="535" t="s">
        <v>214</v>
      </c>
      <c r="B5" s="536" t="s">
        <v>114</v>
      </c>
      <c r="C5" s="535"/>
      <c r="D5" s="535"/>
      <c r="E5" s="535"/>
      <c r="F5" s="535"/>
      <c r="G5" s="535"/>
      <c r="H5" s="535"/>
      <c r="I5" s="535"/>
      <c r="J5" s="535"/>
      <c r="K5" s="537"/>
      <c r="L5" s="535"/>
      <c r="M5" s="535"/>
      <c r="N5" s="535"/>
      <c r="O5" s="535"/>
      <c r="P5" s="535"/>
      <c r="Q5" s="535"/>
    </row>
    <row r="6" spans="1:17" s="367" customFormat="1" ht="16.5">
      <c r="A6" s="538">
        <v>1</v>
      </c>
      <c r="B6" s="539" t="s">
        <v>113</v>
      </c>
      <c r="C6" s="538"/>
      <c r="D6" s="538"/>
      <c r="E6" s="538"/>
      <c r="F6" s="538"/>
      <c r="G6" s="538"/>
      <c r="H6" s="538"/>
      <c r="I6" s="538"/>
      <c r="J6" s="538"/>
      <c r="K6" s="540"/>
      <c r="L6" s="538"/>
      <c r="M6" s="541"/>
      <c r="N6" s="538"/>
      <c r="O6" s="538"/>
      <c r="P6" s="541"/>
      <c r="Q6" s="542"/>
    </row>
    <row r="7" spans="1:31" ht="22.5" customHeight="1">
      <c r="A7" s="543">
        <v>1.1</v>
      </c>
      <c r="B7" s="544" t="s">
        <v>428</v>
      </c>
      <c r="C7" s="487" t="s">
        <v>120</v>
      </c>
      <c r="D7" s="545">
        <v>100</v>
      </c>
      <c r="E7" s="545"/>
      <c r="F7" s="546">
        <f>(F8/D8)^1*100</f>
        <v>103.72629987579678</v>
      </c>
      <c r="G7" s="546">
        <f>(G8/F8)^1*100</f>
        <v>102.72179395048018</v>
      </c>
      <c r="H7" s="546">
        <f>(H8/G8)^1*100</f>
        <v>100.19326705487137</v>
      </c>
      <c r="I7" s="546">
        <f>(I8/H8)^1*100</f>
        <v>106.48565843303359</v>
      </c>
      <c r="J7" s="546">
        <f>(J8/I8)^1*100</f>
        <v>103.29943167976576</v>
      </c>
      <c r="K7" s="547">
        <f>(J8/D8)^0.2*100</f>
        <v>103.26563369631607</v>
      </c>
      <c r="L7" s="546">
        <f>(L8/J8)^1*100</f>
        <v>103.6358609886919</v>
      </c>
      <c r="M7" s="546">
        <f>(M8/L8)^1*100</f>
        <v>103.57716908525609</v>
      </c>
      <c r="N7" s="546">
        <f>(N8/M8)^1*100</f>
        <v>103.8435738183575</v>
      </c>
      <c r="O7" s="546">
        <f>(O8/N8)^1*100</f>
        <v>103.96134263233678</v>
      </c>
      <c r="P7" s="546">
        <f>(P8/O8)^1*100</f>
        <v>104.084497168875</v>
      </c>
      <c r="Q7" s="548">
        <f>(P8/J8)^0.2*100</f>
        <v>103.82031212415694</v>
      </c>
      <c r="T7" s="436"/>
      <c r="U7" s="462"/>
      <c r="AE7" s="364">
        <f>(L7+M7+N7+O7+P7)/5</f>
        <v>103.82048873870345</v>
      </c>
    </row>
    <row r="8" spans="1:32" ht="30" customHeight="1">
      <c r="A8" s="487">
        <v>1.2</v>
      </c>
      <c r="B8" s="549" t="s">
        <v>2</v>
      </c>
      <c r="C8" s="487" t="s">
        <v>405</v>
      </c>
      <c r="D8" s="550">
        <f>D9+D12+D13+D14</f>
        <v>5430.615</v>
      </c>
      <c r="E8" s="551">
        <f aca="true" t="shared" si="0" ref="E8:J8">E9+E12+E13+E14</f>
        <v>5430.615</v>
      </c>
      <c r="F8" s="550">
        <f>F9+F12+F13+F14</f>
        <v>5632.976000000001</v>
      </c>
      <c r="G8" s="550">
        <f t="shared" si="0"/>
        <v>5786.294000000001</v>
      </c>
      <c r="H8" s="550">
        <f t="shared" si="0"/>
        <v>5797.477</v>
      </c>
      <c r="I8" s="550">
        <f>I9+I12+I13+I14</f>
        <v>6173.481555953683</v>
      </c>
      <c r="J8" s="550">
        <f t="shared" si="0"/>
        <v>6377.171362155315</v>
      </c>
      <c r="K8" s="552">
        <f aca="true" t="shared" si="1" ref="K8:P8">K9+K12+K13+K14</f>
        <v>5953.4799836218</v>
      </c>
      <c r="L8" s="550">
        <f t="shared" si="1"/>
        <v>6609.036447893953</v>
      </c>
      <c r="M8" s="550">
        <f t="shared" si="1"/>
        <v>6845.452856541322</v>
      </c>
      <c r="N8" s="550">
        <f t="shared" si="1"/>
        <v>7108.56289028335</v>
      </c>
      <c r="O8" s="550">
        <f t="shared" si="1"/>
        <v>7390.157422602615</v>
      </c>
      <c r="P8" s="550">
        <f t="shared" si="1"/>
        <v>7692.008193304224</v>
      </c>
      <c r="Q8" s="553">
        <f aca="true" t="shared" si="2" ref="Q8:Q22">SUM(L8:P8)/5</f>
        <v>7129.043562125093</v>
      </c>
      <c r="R8" s="421">
        <f>SUM(L8:P8)/5</f>
        <v>7129.043562125093</v>
      </c>
      <c r="T8" s="436"/>
      <c r="U8" s="433"/>
      <c r="AE8" s="364">
        <f>(F7+G7+H7+I7+J7)/5</f>
        <v>103.28529019878954</v>
      </c>
      <c r="AF8" s="364">
        <f>(F7+G7+H7+I7)/4</f>
        <v>103.28175482854547</v>
      </c>
    </row>
    <row r="9" spans="1:21" ht="22.5" customHeight="1">
      <c r="A9" s="487"/>
      <c r="B9" s="554" t="s">
        <v>3</v>
      </c>
      <c r="C9" s="487" t="s">
        <v>405</v>
      </c>
      <c r="D9" s="555">
        <f>D10+D11</f>
        <v>3503.245</v>
      </c>
      <c r="E9" s="555">
        <f aca="true" t="shared" si="3" ref="E9:J9">E10+E11</f>
        <v>3503.245</v>
      </c>
      <c r="F9" s="555">
        <f>F10+F11</f>
        <v>3618.599</v>
      </c>
      <c r="G9" s="555">
        <f>G10+G11</f>
        <v>3670.608</v>
      </c>
      <c r="H9" s="555">
        <f>H10+H11</f>
        <v>3595.558</v>
      </c>
      <c r="I9" s="556">
        <f t="shared" si="3"/>
        <v>3744.344</v>
      </c>
      <c r="J9" s="557">
        <f t="shared" si="3"/>
        <v>3807.237594018255</v>
      </c>
      <c r="K9" s="552">
        <f aca="true" t="shared" si="4" ref="K9:P9">K10+K11</f>
        <v>3687.269318803651</v>
      </c>
      <c r="L9" s="557">
        <f t="shared" si="4"/>
        <v>3874.531823447032</v>
      </c>
      <c r="M9" s="557">
        <f t="shared" si="4"/>
        <v>3950.2014299589528</v>
      </c>
      <c r="N9" s="557">
        <f t="shared" si="4"/>
        <v>4020.0632071782857</v>
      </c>
      <c r="O9" s="557">
        <f t="shared" si="4"/>
        <v>4091.201710147809</v>
      </c>
      <c r="P9" s="557">
        <f t="shared" si="4"/>
        <v>4163.6408182534105</v>
      </c>
      <c r="Q9" s="553">
        <f t="shared" si="2"/>
        <v>4019.9277977970983</v>
      </c>
      <c r="T9" s="436"/>
      <c r="U9" s="433"/>
    </row>
    <row r="10" spans="1:21" ht="22.5" customHeight="1">
      <c r="A10" s="487"/>
      <c r="B10" s="558" t="s">
        <v>408</v>
      </c>
      <c r="C10" s="487" t="s">
        <v>405</v>
      </c>
      <c r="D10" s="559">
        <v>2615.962</v>
      </c>
      <c r="E10" s="559">
        <v>2615.962</v>
      </c>
      <c r="F10" s="560">
        <v>2729.079</v>
      </c>
      <c r="G10" s="560">
        <v>2770.481</v>
      </c>
      <c r="H10" s="561">
        <v>2725.83</v>
      </c>
      <c r="I10" s="557">
        <v>2813.574</v>
      </c>
      <c r="J10" s="557">
        <f>(I10/E10)^0.25*I10</f>
        <v>2865.266814374401</v>
      </c>
      <c r="K10" s="552">
        <f>(F10+G10+J10+I10+H10)/5</f>
        <v>2780.84616287488</v>
      </c>
      <c r="L10" s="557">
        <f>J10*1.01953</f>
        <v>2921.225475259133</v>
      </c>
      <c r="M10" s="557">
        <f>L10*1.01953</f>
        <v>2978.277008790944</v>
      </c>
      <c r="N10" s="557">
        <f>M10*1.01953</f>
        <v>3036.4427587726314</v>
      </c>
      <c r="O10" s="557">
        <f>N10*1.01953</f>
        <v>3095.744485851461</v>
      </c>
      <c r="P10" s="557">
        <f>O10*1.01953</f>
        <v>3156.20437566014</v>
      </c>
      <c r="Q10" s="553">
        <f t="shared" si="2"/>
        <v>3037.578820866862</v>
      </c>
      <c r="R10" s="409">
        <f aca="true" t="shared" si="5" ref="R10:R28">(I10/D10)^0.25</f>
        <v>1.018372651429961</v>
      </c>
      <c r="T10" s="436"/>
      <c r="U10" s="433"/>
    </row>
    <row r="11" spans="1:36" ht="22.5" customHeight="1">
      <c r="A11" s="487"/>
      <c r="B11" s="558" t="s">
        <v>409</v>
      </c>
      <c r="C11" s="487" t="s">
        <v>405</v>
      </c>
      <c r="D11" s="559">
        <v>887.283</v>
      </c>
      <c r="E11" s="559">
        <v>887.283</v>
      </c>
      <c r="F11" s="560">
        <v>889.52</v>
      </c>
      <c r="G11" s="560">
        <v>900.127</v>
      </c>
      <c r="H11" s="561">
        <v>869.728</v>
      </c>
      <c r="I11" s="557">
        <v>930.77</v>
      </c>
      <c r="J11" s="557">
        <f>(I11/E11)^0.25*I11</f>
        <v>941.9707796438544</v>
      </c>
      <c r="K11" s="552">
        <f>(F11+G11+J11+I11+H11)/5</f>
        <v>906.4231559287707</v>
      </c>
      <c r="L11" s="557">
        <f>J11*R11</f>
        <v>953.3063481878991</v>
      </c>
      <c r="M11" s="557">
        <f>L11*1.01953</f>
        <v>971.9244211680087</v>
      </c>
      <c r="N11" s="557">
        <f aca="true" t="shared" si="6" ref="N11:P14">M11*$R11</f>
        <v>983.6204484056545</v>
      </c>
      <c r="O11" s="557">
        <f t="shared" si="6"/>
        <v>995.4572242963482</v>
      </c>
      <c r="P11" s="557">
        <f t="shared" si="6"/>
        <v>1007.4364425932704</v>
      </c>
      <c r="Q11" s="553">
        <f t="shared" si="2"/>
        <v>982.3489769302362</v>
      </c>
      <c r="R11" s="409">
        <f t="shared" si="5"/>
        <v>1.0120338855397728</v>
      </c>
      <c r="T11" s="431"/>
      <c r="U11" s="432"/>
      <c r="AH11" s="364">
        <v>332975</v>
      </c>
      <c r="AI11" s="364">
        <v>33674</v>
      </c>
      <c r="AJ11" s="364">
        <f>AH11-AI11</f>
        <v>299301</v>
      </c>
    </row>
    <row r="12" spans="1:36" ht="22.5" customHeight="1">
      <c r="A12" s="487" t="s">
        <v>458</v>
      </c>
      <c r="B12" s="554" t="s">
        <v>4</v>
      </c>
      <c r="C12" s="487" t="s">
        <v>405</v>
      </c>
      <c r="D12" s="562">
        <v>269.353</v>
      </c>
      <c r="E12" s="562">
        <v>269.353</v>
      </c>
      <c r="F12" s="562">
        <f>313.488-30.778</f>
        <v>282.71</v>
      </c>
      <c r="G12" s="562">
        <f>319.969-30.69</f>
        <v>289.279</v>
      </c>
      <c r="H12" s="562">
        <v>299.301</v>
      </c>
      <c r="I12" s="563">
        <v>350.856555953683</v>
      </c>
      <c r="J12" s="557">
        <f>(I12/E12)^0.25*I12</f>
        <v>374.8275814929798</v>
      </c>
      <c r="K12" s="552">
        <f>(F12+G12+J12+I12+H12)/5</f>
        <v>319.39482748933256</v>
      </c>
      <c r="L12" s="557">
        <f>J12*R12</f>
        <v>400.43634204293846</v>
      </c>
      <c r="M12" s="557">
        <f>L12*1.01953</f>
        <v>408.25686380303705</v>
      </c>
      <c r="N12" s="557">
        <f t="shared" si="6"/>
        <v>436.14956109699244</v>
      </c>
      <c r="O12" s="557">
        <f t="shared" si="6"/>
        <v>465.947927667601</v>
      </c>
      <c r="P12" s="557">
        <f t="shared" si="6"/>
        <v>497.7821615861968</v>
      </c>
      <c r="Q12" s="553">
        <f t="shared" si="2"/>
        <v>441.7145712393532</v>
      </c>
      <c r="R12" s="409">
        <f t="shared" si="5"/>
        <v>1.0683214411489041</v>
      </c>
      <c r="T12" s="429"/>
      <c r="U12" s="434"/>
      <c r="AH12" s="364">
        <v>385389</v>
      </c>
      <c r="AI12" s="364">
        <v>35369</v>
      </c>
      <c r="AJ12" s="364">
        <f>AH12-AI12</f>
        <v>350020</v>
      </c>
    </row>
    <row r="13" spans="1:31" ht="16.5">
      <c r="A13" s="487"/>
      <c r="B13" s="554" t="s">
        <v>5</v>
      </c>
      <c r="C13" s="487" t="s">
        <v>405</v>
      </c>
      <c r="D13" s="564">
        <v>1428.759</v>
      </c>
      <c r="E13" s="564">
        <v>1428.759</v>
      </c>
      <c r="F13" s="564">
        <v>1511.389</v>
      </c>
      <c r="G13" s="564">
        <v>1605.74</v>
      </c>
      <c r="H13" s="564">
        <v>1675.04</v>
      </c>
      <c r="I13" s="565">
        <v>1836.133</v>
      </c>
      <c r="J13" s="557">
        <v>1949.624</v>
      </c>
      <c r="K13" s="552">
        <f>(F13+G13+J13+I13+H13)/5</f>
        <v>1715.5852</v>
      </c>
      <c r="L13" s="557">
        <v>2085.206</v>
      </c>
      <c r="M13" s="557">
        <v>2233.272</v>
      </c>
      <c r="N13" s="557">
        <v>2395.134</v>
      </c>
      <c r="O13" s="557">
        <v>2572.25</v>
      </c>
      <c r="P13" s="557">
        <v>2766.237</v>
      </c>
      <c r="Q13" s="553">
        <f t="shared" si="2"/>
        <v>2410.4198000000006</v>
      </c>
      <c r="R13" s="409">
        <f t="shared" si="5"/>
        <v>1.064722150512313</v>
      </c>
      <c r="T13" s="433"/>
      <c r="U13" s="434"/>
      <c r="AE13" s="364">
        <f>I13/H13*100</f>
        <v>109.61726287133442</v>
      </c>
    </row>
    <row r="14" spans="1:31" ht="33">
      <c r="A14" s="487"/>
      <c r="B14" s="554" t="s">
        <v>6</v>
      </c>
      <c r="C14" s="487" t="s">
        <v>405</v>
      </c>
      <c r="D14" s="562">
        <v>229.258</v>
      </c>
      <c r="E14" s="562">
        <v>229.258</v>
      </c>
      <c r="F14" s="562">
        <f>189.5+30.778</f>
        <v>220.278</v>
      </c>
      <c r="G14" s="562">
        <f>189.977+30.69</f>
        <v>220.667</v>
      </c>
      <c r="H14" s="562">
        <f>193.904+33.674</f>
        <v>227.578</v>
      </c>
      <c r="I14" s="563">
        <f>206.779+35.369</f>
        <v>242.148</v>
      </c>
      <c r="J14" s="557">
        <f>(I14/E14)^0.25*I14</f>
        <v>245.48218664408108</v>
      </c>
      <c r="K14" s="552">
        <f>(F14+G14+J14+I14+H14)/5</f>
        <v>231.23063732881624</v>
      </c>
      <c r="L14" s="557">
        <f>J14*R14</f>
        <v>248.8622824039821</v>
      </c>
      <c r="M14" s="557">
        <f>L14*1.01953</f>
        <v>253.7225627793319</v>
      </c>
      <c r="N14" s="557">
        <f t="shared" si="6"/>
        <v>257.21612200807164</v>
      </c>
      <c r="O14" s="557">
        <f t="shared" si="6"/>
        <v>260.75778478720525</v>
      </c>
      <c r="P14" s="557">
        <f t="shared" si="6"/>
        <v>264.34821346461604</v>
      </c>
      <c r="Q14" s="553">
        <f t="shared" si="2"/>
        <v>256.98139308864137</v>
      </c>
      <c r="R14" s="409">
        <f t="shared" si="5"/>
        <v>1.01376920992154</v>
      </c>
      <c r="T14" s="433"/>
      <c r="U14" s="434"/>
      <c r="AE14" s="364">
        <f aca="true" t="shared" si="7" ref="AE14:AE29">I14/H14*100</f>
        <v>106.40220056420216</v>
      </c>
    </row>
    <row r="15" spans="1:31" ht="30.75" customHeight="1">
      <c r="A15" s="543">
        <v>1.4</v>
      </c>
      <c r="B15" s="566" t="s">
        <v>465</v>
      </c>
      <c r="C15" s="543"/>
      <c r="D15" s="567">
        <f aca="true" t="shared" si="8" ref="D15:I15">D16+D19+D20+D21</f>
        <v>100</v>
      </c>
      <c r="E15" s="567">
        <f t="shared" si="8"/>
        <v>100</v>
      </c>
      <c r="F15" s="567">
        <f t="shared" si="8"/>
        <v>99.99999999999999</v>
      </c>
      <c r="G15" s="567">
        <f t="shared" si="8"/>
        <v>99.99999999999999</v>
      </c>
      <c r="H15" s="567">
        <f t="shared" si="8"/>
        <v>99.99999999999999</v>
      </c>
      <c r="I15" s="567">
        <f t="shared" si="8"/>
        <v>100</v>
      </c>
      <c r="J15" s="567">
        <f aca="true" t="shared" si="9" ref="J15:Q15">J16+J19+J20+J21</f>
        <v>100.00000000000001</v>
      </c>
      <c r="K15" s="567">
        <f t="shared" si="9"/>
        <v>100</v>
      </c>
      <c r="L15" s="567">
        <f t="shared" si="9"/>
        <v>99.99999999999999</v>
      </c>
      <c r="M15" s="567">
        <f t="shared" si="9"/>
        <v>99.99999999999997</v>
      </c>
      <c r="N15" s="567">
        <f t="shared" si="9"/>
        <v>100</v>
      </c>
      <c r="O15" s="567">
        <f t="shared" si="9"/>
        <v>100</v>
      </c>
      <c r="P15" s="567">
        <f t="shared" si="9"/>
        <v>100</v>
      </c>
      <c r="Q15" s="567">
        <f t="shared" si="9"/>
        <v>52.13258477897874</v>
      </c>
      <c r="S15" s="430"/>
      <c r="T15" s="434"/>
      <c r="AE15" s="364">
        <f>I15/H15*100</f>
        <v>100.00000000000003</v>
      </c>
    </row>
    <row r="16" spans="1:20" ht="16.5">
      <c r="A16" s="487"/>
      <c r="B16" s="554" t="s">
        <v>3</v>
      </c>
      <c r="C16" s="543" t="s">
        <v>120</v>
      </c>
      <c r="D16" s="545">
        <f>D9/D$22*100</f>
        <v>64.50917621669001</v>
      </c>
      <c r="E16" s="545">
        <f>E9/E$22*100</f>
        <v>64.50917621669001</v>
      </c>
      <c r="F16" s="545">
        <f>F9/F$8*100</f>
        <v>64.23956004783261</v>
      </c>
      <c r="G16" s="545">
        <f aca="true" t="shared" si="10" ref="G16:P16">G9/G$8*100</f>
        <v>63.4362512516647</v>
      </c>
      <c r="H16" s="545">
        <f t="shared" si="10"/>
        <v>62.01935773095779</v>
      </c>
      <c r="I16" s="545">
        <f t="shared" si="10"/>
        <v>60.652064253581</v>
      </c>
      <c r="J16" s="545">
        <f t="shared" si="10"/>
        <v>59.7010395018068</v>
      </c>
      <c r="K16" s="545">
        <f t="shared" si="10"/>
        <v>61.93468910532056</v>
      </c>
      <c r="L16" s="545">
        <f t="shared" si="10"/>
        <v>58.624761022186476</v>
      </c>
      <c r="M16" s="545">
        <f t="shared" si="10"/>
        <v>57.7054800134114</v>
      </c>
      <c r="N16" s="545">
        <f t="shared" si="10"/>
        <v>56.55240404039029</v>
      </c>
      <c r="O16" s="545">
        <f t="shared" si="10"/>
        <v>55.36014290622509</v>
      </c>
      <c r="P16" s="545">
        <f t="shared" si="10"/>
        <v>54.12943815995668</v>
      </c>
      <c r="Q16" s="568">
        <f>Q9/Q$22*100</f>
        <v>29.396541751746586</v>
      </c>
      <c r="S16" s="430"/>
      <c r="T16" s="434"/>
    </row>
    <row r="17" spans="1:31" s="375" customFormat="1" ht="17.25">
      <c r="A17" s="483"/>
      <c r="B17" s="569" t="s">
        <v>408</v>
      </c>
      <c r="C17" s="543" t="s">
        <v>120</v>
      </c>
      <c r="D17" s="570">
        <f>D10*100/D9</f>
        <v>74.67253931711885</v>
      </c>
      <c r="E17" s="570">
        <f>E10/E$22*100</f>
        <v>48.17063997355732</v>
      </c>
      <c r="F17" s="570">
        <f aca="true" t="shared" si="11" ref="F17:K17">F10*100/F9</f>
        <v>75.41811071080272</v>
      </c>
      <c r="G17" s="570">
        <f t="shared" si="11"/>
        <v>75.47744133941843</v>
      </c>
      <c r="H17" s="570">
        <f t="shared" si="11"/>
        <v>75.811042402876</v>
      </c>
      <c r="I17" s="570">
        <f t="shared" si="11"/>
        <v>75.14197413485513</v>
      </c>
      <c r="J17" s="570">
        <f t="shared" si="11"/>
        <v>75.25841883039209</v>
      </c>
      <c r="K17" s="571">
        <f t="shared" si="11"/>
        <v>75.4174952367498</v>
      </c>
      <c r="L17" s="570">
        <f aca="true" t="shared" si="12" ref="L17:Q17">L10*100/L9</f>
        <v>75.39557315237698</v>
      </c>
      <c r="M17" s="570">
        <f t="shared" si="12"/>
        <v>75.39557315237698</v>
      </c>
      <c r="N17" s="570">
        <f t="shared" si="12"/>
        <v>75.53221435301597</v>
      </c>
      <c r="O17" s="570">
        <f t="shared" si="12"/>
        <v>75.66834160664291</v>
      </c>
      <c r="P17" s="570">
        <f t="shared" si="12"/>
        <v>75.80395412167479</v>
      </c>
      <c r="Q17" s="571">
        <f t="shared" si="12"/>
        <v>75.56301937889135</v>
      </c>
      <c r="S17" s="430"/>
      <c r="T17" s="434"/>
      <c r="AE17" s="375">
        <f>I10*100/I8</f>
        <v>45.57515843368156</v>
      </c>
    </row>
    <row r="18" spans="1:20" s="375" customFormat="1" ht="17.25">
      <c r="A18" s="483"/>
      <c r="B18" s="569" t="s">
        <v>409</v>
      </c>
      <c r="C18" s="543" t="s">
        <v>120</v>
      </c>
      <c r="D18" s="570">
        <f>D11*100/D9</f>
        <v>25.32746068288116</v>
      </c>
      <c r="E18" s="570">
        <f>E11/E$22*100</f>
        <v>16.338536243132683</v>
      </c>
      <c r="F18" s="570">
        <f>F11*100/F9</f>
        <v>24.58188928919728</v>
      </c>
      <c r="G18" s="570">
        <f>G11*100/G9</f>
        <v>24.52255866058157</v>
      </c>
      <c r="H18" s="570">
        <f>H11*100/H9</f>
        <v>24.188957597124002</v>
      </c>
      <c r="I18" s="570">
        <f>I11*100/I9</f>
        <v>24.858025865144867</v>
      </c>
      <c r="J18" s="570">
        <f>J11*100/J9</f>
        <v>24.741581169607922</v>
      </c>
      <c r="K18" s="571">
        <f aca="true" t="shared" si="13" ref="K18:Q18">K11*100/K9</f>
        <v>24.5825047632502</v>
      </c>
      <c r="L18" s="570">
        <f t="shared" si="13"/>
        <v>24.604426847623017</v>
      </c>
      <c r="M18" s="570">
        <f t="shared" si="13"/>
        <v>24.604426847623014</v>
      </c>
      <c r="N18" s="570">
        <f t="shared" si="13"/>
        <v>24.467785646984034</v>
      </c>
      <c r="O18" s="570">
        <f t="shared" si="13"/>
        <v>24.33165839335709</v>
      </c>
      <c r="P18" s="570">
        <f t="shared" si="13"/>
        <v>24.196045878325208</v>
      </c>
      <c r="Q18" s="571">
        <f t="shared" si="13"/>
        <v>24.436980621108642</v>
      </c>
      <c r="S18" s="430"/>
      <c r="T18" s="434"/>
    </row>
    <row r="19" spans="1:17" ht="16.5">
      <c r="A19" s="487"/>
      <c r="B19" s="554" t="s">
        <v>4</v>
      </c>
      <c r="C19" s="543" t="s">
        <v>120</v>
      </c>
      <c r="D19" s="545">
        <f>D12/D$22*100</f>
        <v>4.959898648679753</v>
      </c>
      <c r="E19" s="545">
        <f>E12/E$22*100</f>
        <v>4.959898648679753</v>
      </c>
      <c r="F19" s="545">
        <f>F12/F$8*100</f>
        <v>5.018839064821153</v>
      </c>
      <c r="G19" s="545">
        <f aca="true" t="shared" si="14" ref="G19:P19">G12/G$8*100</f>
        <v>4.999383024782356</v>
      </c>
      <c r="H19" s="545">
        <f t="shared" si="14"/>
        <v>5.162607803359979</v>
      </c>
      <c r="I19" s="545">
        <f>I12/I$8*100</f>
        <v>5.683285076235763</v>
      </c>
      <c r="J19" s="545">
        <f t="shared" si="14"/>
        <v>5.877646376532337</v>
      </c>
      <c r="K19" s="545">
        <f t="shared" si="14"/>
        <v>5.364842552053542</v>
      </c>
      <c r="L19" s="545">
        <f t="shared" si="14"/>
        <v>6.058921677917849</v>
      </c>
      <c r="M19" s="545">
        <f t="shared" si="14"/>
        <v>5.963913160440778</v>
      </c>
      <c r="N19" s="545">
        <f t="shared" si="14"/>
        <v>6.135551838377382</v>
      </c>
      <c r="O19" s="545">
        <f t="shared" si="14"/>
        <v>6.3049797321300725</v>
      </c>
      <c r="P19" s="545">
        <f t="shared" si="14"/>
        <v>6.471420064522404</v>
      </c>
      <c r="Q19" s="568">
        <f>Q12/Q$22*100</f>
        <v>3.2301278751593845</v>
      </c>
    </row>
    <row r="20" spans="1:17" ht="16.5">
      <c r="A20" s="487"/>
      <c r="B20" s="554" t="s">
        <v>5</v>
      </c>
      <c r="C20" s="543" t="s">
        <v>120</v>
      </c>
      <c r="D20" s="545">
        <f>D13/D$22*100</f>
        <v>26.309340654787718</v>
      </c>
      <c r="E20" s="545">
        <f>E13/E$22*100</f>
        <v>26.309340654787718</v>
      </c>
      <c r="F20" s="545">
        <f aca="true" t="shared" si="15" ref="F20:K21">F13/F$8*100</f>
        <v>26.83109248113253</v>
      </c>
      <c r="G20" s="545">
        <f t="shared" si="15"/>
        <v>27.750750307537082</v>
      </c>
      <c r="H20" s="545">
        <f t="shared" si="15"/>
        <v>28.89256826719623</v>
      </c>
      <c r="I20" s="545">
        <f t="shared" si="15"/>
        <v>29.74226104602581</v>
      </c>
      <c r="J20" s="545">
        <f t="shared" si="15"/>
        <v>30.571924279310547</v>
      </c>
      <c r="K20" s="545">
        <f t="shared" si="15"/>
        <v>28.81651075874322</v>
      </c>
      <c r="L20" s="545">
        <f aca="true" t="shared" si="16" ref="L20:P21">L13/L$8*100</f>
        <v>31.550832204359768</v>
      </c>
      <c r="M20" s="545">
        <f t="shared" si="16"/>
        <v>32.62416741159714</v>
      </c>
      <c r="N20" s="545">
        <f t="shared" si="16"/>
        <v>33.693645775771266</v>
      </c>
      <c r="O20" s="545">
        <f t="shared" si="16"/>
        <v>34.80643040340164</v>
      </c>
      <c r="P20" s="545">
        <f t="shared" si="16"/>
        <v>35.962481194546406</v>
      </c>
      <c r="Q20" s="568">
        <f>Q13/Q$22*100</f>
        <v>17.62668631231798</v>
      </c>
    </row>
    <row r="21" spans="1:17" ht="33">
      <c r="A21" s="487"/>
      <c r="B21" s="554" t="s">
        <v>6</v>
      </c>
      <c r="C21" s="543" t="s">
        <v>120</v>
      </c>
      <c r="D21" s="545">
        <f>D14/D$22*100</f>
        <v>4.221584479842523</v>
      </c>
      <c r="E21" s="545">
        <f>E14/E$22*100</f>
        <v>4.221584479842523</v>
      </c>
      <c r="F21" s="545">
        <f t="shared" si="15"/>
        <v>3.910508406213695</v>
      </c>
      <c r="G21" s="545">
        <f t="shared" si="15"/>
        <v>3.8136154160158466</v>
      </c>
      <c r="H21" s="545">
        <f t="shared" si="15"/>
        <v>3.9254661984859966</v>
      </c>
      <c r="I21" s="545">
        <f t="shared" si="15"/>
        <v>3.922389624157431</v>
      </c>
      <c r="J21" s="545">
        <f t="shared" si="15"/>
        <v>3.849389842350333</v>
      </c>
      <c r="K21" s="545">
        <f t="shared" si="15"/>
        <v>3.88395758388268</v>
      </c>
      <c r="L21" s="545">
        <f t="shared" si="16"/>
        <v>3.7654850955359005</v>
      </c>
      <c r="M21" s="545">
        <f t="shared" si="16"/>
        <v>3.706439414550664</v>
      </c>
      <c r="N21" s="545">
        <f t="shared" si="16"/>
        <v>3.61839834546106</v>
      </c>
      <c r="O21" s="545">
        <f t="shared" si="16"/>
        <v>3.5284469582431894</v>
      </c>
      <c r="P21" s="545">
        <f t="shared" si="16"/>
        <v>3.4366605809745128</v>
      </c>
      <c r="Q21" s="568">
        <f>Q14/Q$22*100</f>
        <v>1.8792288397547847</v>
      </c>
    </row>
    <row r="22" spans="1:31" ht="33">
      <c r="A22" s="487">
        <v>1.3</v>
      </c>
      <c r="B22" s="549" t="s">
        <v>112</v>
      </c>
      <c r="C22" s="487" t="s">
        <v>405</v>
      </c>
      <c r="D22" s="550">
        <f>D23+D26+D27+D28</f>
        <v>5430.615</v>
      </c>
      <c r="E22" s="550">
        <f aca="true" t="shared" si="17" ref="E22:J22">E23+E26+E27+E28</f>
        <v>5430.615</v>
      </c>
      <c r="F22" s="550">
        <f t="shared" si="17"/>
        <v>7284.468</v>
      </c>
      <c r="G22" s="550">
        <f t="shared" si="17"/>
        <v>7405.400999999999</v>
      </c>
      <c r="H22" s="550">
        <f t="shared" si="17"/>
        <v>7592.807000000001</v>
      </c>
      <c r="I22" s="550">
        <f t="shared" si="17"/>
        <v>8520.056</v>
      </c>
      <c r="J22" s="550">
        <f t="shared" si="17"/>
        <v>9591.930403694376</v>
      </c>
      <c r="K22" s="572">
        <f aca="true" t="shared" si="18" ref="K22:P22">K23+K26+K27+K28</f>
        <v>8079.753792883367</v>
      </c>
      <c r="L22" s="550">
        <f t="shared" si="18"/>
        <v>10828.005150658684</v>
      </c>
      <c r="M22" s="550">
        <f t="shared" si="18"/>
        <v>11698.942242801048</v>
      </c>
      <c r="N22" s="550">
        <f t="shared" si="18"/>
        <v>13301.617584012121</v>
      </c>
      <c r="O22" s="550">
        <f t="shared" si="18"/>
        <v>15174.314101014801</v>
      </c>
      <c r="P22" s="550">
        <f t="shared" si="18"/>
        <v>17371.282612798947</v>
      </c>
      <c r="Q22" s="573">
        <f t="shared" si="2"/>
        <v>13674.832338257122</v>
      </c>
      <c r="R22" s="409">
        <f t="shared" si="5"/>
        <v>1.1191759231645804</v>
      </c>
      <c r="S22" s="432"/>
      <c r="T22" s="433"/>
      <c r="U22" s="434"/>
      <c r="AE22" s="364">
        <f t="shared" si="7"/>
        <v>112.21220294418124</v>
      </c>
    </row>
    <row r="23" spans="1:31" ht="18" customHeight="1">
      <c r="A23" s="487"/>
      <c r="B23" s="554" t="s">
        <v>3</v>
      </c>
      <c r="C23" s="487" t="s">
        <v>405</v>
      </c>
      <c r="D23" s="555">
        <f aca="true" t="shared" si="19" ref="D23:I23">D24+D25</f>
        <v>3503.245</v>
      </c>
      <c r="E23" s="555">
        <f t="shared" si="19"/>
        <v>3503.245</v>
      </c>
      <c r="F23" s="555">
        <f t="shared" si="19"/>
        <v>4855.412</v>
      </c>
      <c r="G23" s="555">
        <f t="shared" si="19"/>
        <v>4570.19</v>
      </c>
      <c r="H23" s="555">
        <f t="shared" si="19"/>
        <v>4439.274</v>
      </c>
      <c r="I23" s="555">
        <f t="shared" si="19"/>
        <v>4931.9220000000005</v>
      </c>
      <c r="J23" s="557">
        <f>(I23/E23)^0.25*I23</f>
        <v>5372.20555544708</v>
      </c>
      <c r="K23" s="552">
        <f>K24+K25</f>
        <v>4834.622023233907</v>
      </c>
      <c r="L23" s="557">
        <f>J23*R23</f>
        <v>5851.794195037242</v>
      </c>
      <c r="M23" s="557">
        <f>L23*1.01953</f>
        <v>5966.07973566632</v>
      </c>
      <c r="N23" s="557">
        <f aca="true" t="shared" si="20" ref="N23:P28">M23*$R23</f>
        <v>6498.684833253009</v>
      </c>
      <c r="O23" s="557">
        <f t="shared" si="20"/>
        <v>7078.836762686331</v>
      </c>
      <c r="P23" s="557">
        <f t="shared" si="20"/>
        <v>7710.780134520888</v>
      </c>
      <c r="Q23" s="553">
        <f aca="true" t="shared" si="21" ref="Q23:Q28">SUM(L23:P23)/5</f>
        <v>6621.235132232758</v>
      </c>
      <c r="R23" s="409">
        <f t="shared" si="5"/>
        <v>1.0892722057338051</v>
      </c>
      <c r="S23" s="435"/>
      <c r="T23" s="433"/>
      <c r="U23" s="434"/>
      <c r="AE23" s="364">
        <f t="shared" si="7"/>
        <v>111.09749026530014</v>
      </c>
    </row>
    <row r="24" spans="1:31" ht="18" customHeight="1">
      <c r="A24" s="487"/>
      <c r="B24" s="558" t="s">
        <v>408</v>
      </c>
      <c r="C24" s="487" t="s">
        <v>405</v>
      </c>
      <c r="D24" s="559">
        <v>2615.962</v>
      </c>
      <c r="E24" s="559">
        <v>2615.962</v>
      </c>
      <c r="F24" s="560">
        <v>3507.674</v>
      </c>
      <c r="G24" s="560">
        <v>3271.205</v>
      </c>
      <c r="H24" s="560">
        <v>3206.362</v>
      </c>
      <c r="I24" s="564">
        <v>3531.338</v>
      </c>
      <c r="J24" s="557">
        <f>(I24/E24)^0.25*I24</f>
        <v>3806.416015479447</v>
      </c>
      <c r="K24" s="552">
        <f>(F24+G24+J24+I24+H24)/5</f>
        <v>3464.599003095889</v>
      </c>
      <c r="L24" s="557">
        <f>J24*R24</f>
        <v>4102.921578987463</v>
      </c>
      <c r="M24" s="557">
        <f>L24*1.01953</f>
        <v>4183.051637425088</v>
      </c>
      <c r="N24" s="557">
        <f t="shared" si="20"/>
        <v>4508.895706463777</v>
      </c>
      <c r="O24" s="557">
        <f t="shared" si="20"/>
        <v>4860.121809130204</v>
      </c>
      <c r="P24" s="557">
        <f t="shared" si="20"/>
        <v>5238.70711086114</v>
      </c>
      <c r="Q24" s="553">
        <f t="shared" si="21"/>
        <v>4578.739568573535</v>
      </c>
      <c r="R24" s="409">
        <f t="shared" si="5"/>
        <v>1.0778962578715057</v>
      </c>
      <c r="S24" s="507"/>
      <c r="T24" s="508"/>
      <c r="U24" s="509"/>
      <c r="AE24" s="364">
        <f t="shared" si="7"/>
        <v>110.13534965796129</v>
      </c>
    </row>
    <row r="25" spans="1:31" ht="18" customHeight="1">
      <c r="A25" s="487"/>
      <c r="B25" s="558" t="s">
        <v>409</v>
      </c>
      <c r="C25" s="487" t="s">
        <v>405</v>
      </c>
      <c r="D25" s="559">
        <v>887.283</v>
      </c>
      <c r="E25" s="559">
        <v>887.283</v>
      </c>
      <c r="F25" s="560">
        <v>1347.738</v>
      </c>
      <c r="G25" s="560">
        <v>1298.985</v>
      </c>
      <c r="H25" s="561">
        <v>1232.912</v>
      </c>
      <c r="I25" s="564">
        <v>1400.584</v>
      </c>
      <c r="J25" s="557">
        <f>(I25/E25)^0.25*I25</f>
        <v>1569.896100690092</v>
      </c>
      <c r="K25" s="552">
        <f>(F25+G25+J25+I25+H25)/5</f>
        <v>1370.0230201380184</v>
      </c>
      <c r="L25" s="557">
        <f>J25*R25</f>
        <v>1759.6757973545002</v>
      </c>
      <c r="M25" s="557">
        <f>L25*1.01953</f>
        <v>1794.0422656768337</v>
      </c>
      <c r="N25" s="557">
        <f t="shared" si="20"/>
        <v>2010.9182722059363</v>
      </c>
      <c r="O25" s="557">
        <f t="shared" si="20"/>
        <v>2254.011722497584</v>
      </c>
      <c r="P25" s="557">
        <f t="shared" si="20"/>
        <v>2526.491959110424</v>
      </c>
      <c r="Q25" s="553">
        <f t="shared" si="21"/>
        <v>2069.0280033690556</v>
      </c>
      <c r="R25" s="409">
        <f t="shared" si="5"/>
        <v>1.1208867877186173</v>
      </c>
      <c r="S25" s="510"/>
      <c r="T25" s="509"/>
      <c r="AE25" s="364">
        <f t="shared" si="7"/>
        <v>113.59967296936036</v>
      </c>
    </row>
    <row r="26" spans="1:31" ht="18" customHeight="1">
      <c r="A26" s="487"/>
      <c r="B26" s="554" t="s">
        <v>4</v>
      </c>
      <c r="C26" s="487" t="s">
        <v>405</v>
      </c>
      <c r="D26" s="564">
        <v>269.353</v>
      </c>
      <c r="E26" s="564">
        <v>269.353</v>
      </c>
      <c r="F26" s="564">
        <v>327.428</v>
      </c>
      <c r="G26" s="564">
        <v>379.022</v>
      </c>
      <c r="H26" s="564">
        <v>412.162</v>
      </c>
      <c r="I26" s="564">
        <v>503.824</v>
      </c>
      <c r="J26" s="557">
        <f>(I26/E26)^0.25*I26</f>
        <v>589.2072882036863</v>
      </c>
      <c r="K26" s="552">
        <f>(F26+G26+J26+I26+H26)/5</f>
        <v>442.3286576407372</v>
      </c>
      <c r="L26" s="557">
        <f>J26*R26</f>
        <v>689.060522071878</v>
      </c>
      <c r="M26" s="557">
        <f>L26*1.01953</f>
        <v>702.5178740679419</v>
      </c>
      <c r="N26" s="557">
        <f t="shared" si="20"/>
        <v>821.573905757151</v>
      </c>
      <c r="O26" s="557">
        <f t="shared" si="20"/>
        <v>960.8064186503261</v>
      </c>
      <c r="P26" s="557">
        <f t="shared" si="20"/>
        <v>1123.6347304250182</v>
      </c>
      <c r="Q26" s="553">
        <f t="shared" si="21"/>
        <v>859.5186901944631</v>
      </c>
      <c r="R26" s="409">
        <f t="shared" si="5"/>
        <v>1.1694704662812536</v>
      </c>
      <c r="S26" s="436"/>
      <c r="T26" s="434"/>
      <c r="AE26" s="364">
        <f t="shared" si="7"/>
        <v>122.23931366792671</v>
      </c>
    </row>
    <row r="27" spans="1:31" ht="18" customHeight="1">
      <c r="A27" s="487"/>
      <c r="B27" s="554" t="s">
        <v>5</v>
      </c>
      <c r="C27" s="487" t="s">
        <v>405</v>
      </c>
      <c r="D27" s="564">
        <v>1428.759</v>
      </c>
      <c r="E27" s="564">
        <v>1428.759</v>
      </c>
      <c r="F27" s="564">
        <v>1857.837</v>
      </c>
      <c r="G27" s="564">
        <v>2137.034</v>
      </c>
      <c r="H27" s="564">
        <v>2392.115</v>
      </c>
      <c r="I27" s="564">
        <v>2718.13</v>
      </c>
      <c r="J27" s="557">
        <v>3218.859</v>
      </c>
      <c r="K27" s="552">
        <f>(F27+G27+J27+I27+H27)/5</f>
        <v>2464.795</v>
      </c>
      <c r="L27" s="557">
        <v>3824.365</v>
      </c>
      <c r="M27" s="557">
        <v>4558.521</v>
      </c>
      <c r="N27" s="557">
        <v>5450.936</v>
      </c>
      <c r="O27" s="557">
        <v>6538.371</v>
      </c>
      <c r="P27" s="557">
        <v>7866.509</v>
      </c>
      <c r="Q27" s="553">
        <f t="shared" si="21"/>
        <v>5647.7404</v>
      </c>
      <c r="R27" s="409">
        <f t="shared" si="5"/>
        <v>1.1744318246275354</v>
      </c>
      <c r="S27" s="429"/>
      <c r="T27" s="434"/>
      <c r="AE27" s="364">
        <f t="shared" si="7"/>
        <v>113.62873440449144</v>
      </c>
    </row>
    <row r="28" spans="1:31" ht="18" customHeight="1">
      <c r="A28" s="487"/>
      <c r="B28" s="554" t="s">
        <v>6</v>
      </c>
      <c r="C28" s="487" t="s">
        <v>405</v>
      </c>
      <c r="D28" s="564">
        <v>229.258</v>
      </c>
      <c r="E28" s="564">
        <v>229.258</v>
      </c>
      <c r="F28" s="564">
        <v>243.791</v>
      </c>
      <c r="G28" s="564">
        <v>319.155</v>
      </c>
      <c r="H28" s="564">
        <v>349.256</v>
      </c>
      <c r="I28" s="564">
        <v>366.18</v>
      </c>
      <c r="J28" s="557">
        <f>(I28/E28)^0.25*I28</f>
        <v>411.6585600436108</v>
      </c>
      <c r="K28" s="552">
        <f>(F28+G28+J28+I28+H28)/5</f>
        <v>338.00811200872215</v>
      </c>
      <c r="L28" s="557">
        <f>J28*R28</f>
        <v>462.7854335495634</v>
      </c>
      <c r="M28" s="557">
        <f>L28*1.01953</f>
        <v>471.8236330667864</v>
      </c>
      <c r="N28" s="557">
        <f t="shared" si="20"/>
        <v>530.4228450019616</v>
      </c>
      <c r="O28" s="557">
        <f t="shared" si="20"/>
        <v>596.2999196781443</v>
      </c>
      <c r="P28" s="557">
        <f t="shared" si="20"/>
        <v>670.3587478530386</v>
      </c>
      <c r="Q28" s="553">
        <f t="shared" si="21"/>
        <v>546.3381158298988</v>
      </c>
      <c r="R28" s="409">
        <f t="shared" si="5"/>
        <v>1.1241972801453133</v>
      </c>
      <c r="S28" s="429"/>
      <c r="T28" s="434"/>
      <c r="AE28" s="364">
        <f t="shared" si="7"/>
        <v>104.8457292072291</v>
      </c>
    </row>
    <row r="29" spans="1:31" ht="30.75" customHeight="1">
      <c r="A29" s="543">
        <v>1.4</v>
      </c>
      <c r="B29" s="566" t="s">
        <v>429</v>
      </c>
      <c r="C29" s="543"/>
      <c r="D29" s="543"/>
      <c r="E29" s="543"/>
      <c r="F29" s="567">
        <f>F30+F33+F34+F35</f>
        <v>100</v>
      </c>
      <c r="G29" s="567">
        <f aca="true" t="shared" si="22" ref="G29:Q29">G30+G33+G34+G35</f>
        <v>100</v>
      </c>
      <c r="H29" s="567">
        <f t="shared" si="22"/>
        <v>99.99999999999999</v>
      </c>
      <c r="I29" s="567">
        <f t="shared" si="22"/>
        <v>100</v>
      </c>
      <c r="J29" s="567">
        <f t="shared" si="22"/>
        <v>100.00000000000001</v>
      </c>
      <c r="K29" s="567">
        <f t="shared" si="22"/>
        <v>99.99999999999999</v>
      </c>
      <c r="L29" s="567">
        <f t="shared" si="22"/>
        <v>100</v>
      </c>
      <c r="M29" s="567">
        <f t="shared" si="22"/>
        <v>100</v>
      </c>
      <c r="N29" s="567">
        <f t="shared" si="22"/>
        <v>100</v>
      </c>
      <c r="O29" s="567">
        <f t="shared" si="22"/>
        <v>100</v>
      </c>
      <c r="P29" s="567">
        <f t="shared" si="22"/>
        <v>99.99999999999999</v>
      </c>
      <c r="Q29" s="567">
        <f t="shared" si="22"/>
        <v>99.99999999999997</v>
      </c>
      <c r="S29" s="430"/>
      <c r="T29" s="434"/>
      <c r="AE29" s="364">
        <f t="shared" si="7"/>
        <v>100.00000000000003</v>
      </c>
    </row>
    <row r="30" spans="1:20" ht="16.5">
      <c r="A30" s="487"/>
      <c r="B30" s="554" t="s">
        <v>3</v>
      </c>
      <c r="C30" s="543" t="s">
        <v>120</v>
      </c>
      <c r="D30" s="545">
        <f>D23/D$22*100</f>
        <v>64.50917621669001</v>
      </c>
      <c r="E30" s="545">
        <f aca="true" t="shared" si="23" ref="E30:Q30">E23/E$22*100</f>
        <v>64.50917621669001</v>
      </c>
      <c r="F30" s="545">
        <f t="shared" si="23"/>
        <v>66.65431161204909</v>
      </c>
      <c r="G30" s="545">
        <f t="shared" si="23"/>
        <v>61.71428123878775</v>
      </c>
      <c r="H30" s="545">
        <f t="shared" si="23"/>
        <v>58.466835782866596</v>
      </c>
      <c r="I30" s="545">
        <f>I23/I$22*100</f>
        <v>57.886027979158825</v>
      </c>
      <c r="J30" s="545">
        <f t="shared" si="23"/>
        <v>56.00755353039207</v>
      </c>
      <c r="K30" s="568">
        <f t="shared" si="23"/>
        <v>59.836254261760224</v>
      </c>
      <c r="L30" s="545">
        <f t="shared" si="23"/>
        <v>54.04314196028314</v>
      </c>
      <c r="M30" s="545">
        <f t="shared" si="23"/>
        <v>50.996744935103436</v>
      </c>
      <c r="N30" s="545">
        <f t="shared" si="23"/>
        <v>48.856349930433296</v>
      </c>
      <c r="O30" s="545">
        <f t="shared" si="23"/>
        <v>46.650126757379596</v>
      </c>
      <c r="P30" s="545">
        <f t="shared" si="23"/>
        <v>44.38808754881278</v>
      </c>
      <c r="Q30" s="568">
        <f t="shared" si="23"/>
        <v>48.419132084778774</v>
      </c>
      <c r="S30" s="430"/>
      <c r="T30" s="434"/>
    </row>
    <row r="31" spans="1:31" s="375" customFormat="1" ht="17.25">
      <c r="A31" s="483"/>
      <c r="B31" s="569" t="s">
        <v>408</v>
      </c>
      <c r="C31" s="543" t="s">
        <v>120</v>
      </c>
      <c r="D31" s="570">
        <f>D24*100/D23</f>
        <v>74.67253931711885</v>
      </c>
      <c r="E31" s="570">
        <f>E24/E$22*100</f>
        <v>48.17063997355732</v>
      </c>
      <c r="F31" s="570">
        <f aca="true" t="shared" si="24" ref="F31:Q31">F24*100/F23</f>
        <v>72.24256149632616</v>
      </c>
      <c r="G31" s="570">
        <f t="shared" si="24"/>
        <v>71.57700226905227</v>
      </c>
      <c r="H31" s="570">
        <f t="shared" si="24"/>
        <v>72.22717047877649</v>
      </c>
      <c r="I31" s="570">
        <f>I24*100/I23</f>
        <v>71.60165955584861</v>
      </c>
      <c r="J31" s="570">
        <f t="shared" si="24"/>
        <v>70.85387884348505</v>
      </c>
      <c r="K31" s="571">
        <f>K24*100/K23</f>
        <v>71.66225170129016</v>
      </c>
      <c r="L31" s="570">
        <f t="shared" si="24"/>
        <v>70.11390767069435</v>
      </c>
      <c r="M31" s="570">
        <f t="shared" si="24"/>
        <v>70.11390767069435</v>
      </c>
      <c r="N31" s="570">
        <f t="shared" si="24"/>
        <v>69.38166447759224</v>
      </c>
      <c r="O31" s="570">
        <f t="shared" si="24"/>
        <v>68.65706855607515</v>
      </c>
      <c r="P31" s="570">
        <f t="shared" si="24"/>
        <v>67.94004004092446</v>
      </c>
      <c r="Q31" s="571">
        <f t="shared" si="24"/>
        <v>69.15234812133201</v>
      </c>
      <c r="S31" s="430"/>
      <c r="T31" s="434"/>
      <c r="AE31" s="375">
        <f>I24*100/I22</f>
        <v>41.44735668404058</v>
      </c>
    </row>
    <row r="32" spans="1:20" s="375" customFormat="1" ht="17.25">
      <c r="A32" s="483"/>
      <c r="B32" s="569" t="s">
        <v>409</v>
      </c>
      <c r="C32" s="543" t="s">
        <v>120</v>
      </c>
      <c r="D32" s="570">
        <f>D25*100/D23</f>
        <v>25.32746068288116</v>
      </c>
      <c r="E32" s="570">
        <f>E25/E$22*100</f>
        <v>16.338536243132683</v>
      </c>
      <c r="F32" s="570">
        <f aca="true" t="shared" si="25" ref="F32:Q32">F25*100/F23</f>
        <v>27.75743850367384</v>
      </c>
      <c r="G32" s="570">
        <f t="shared" si="25"/>
        <v>28.422997730947728</v>
      </c>
      <c r="H32" s="570">
        <f t="shared" si="25"/>
        <v>27.772829521223514</v>
      </c>
      <c r="I32" s="570">
        <f t="shared" si="25"/>
        <v>28.398340444151383</v>
      </c>
      <c r="J32" s="570">
        <f>J25*100/J23</f>
        <v>29.222562027588758</v>
      </c>
      <c r="K32" s="571">
        <f t="shared" si="25"/>
        <v>28.337748298709855</v>
      </c>
      <c r="L32" s="570">
        <f t="shared" si="25"/>
        <v>30.070705474345566</v>
      </c>
      <c r="M32" s="570">
        <f t="shared" si="25"/>
        <v>30.07070547434557</v>
      </c>
      <c r="N32" s="570">
        <f t="shared" si="25"/>
        <v>30.94346508260107</v>
      </c>
      <c r="O32" s="570">
        <f t="shared" si="25"/>
        <v>31.841555301555143</v>
      </c>
      <c r="P32" s="570">
        <f t="shared" si="25"/>
        <v>32.76571131628315</v>
      </c>
      <c r="Q32" s="571">
        <f t="shared" si="25"/>
        <v>31.248369255108376</v>
      </c>
      <c r="S32" s="430"/>
      <c r="T32" s="434"/>
    </row>
    <row r="33" spans="1:17" ht="16.5">
      <c r="A33" s="487"/>
      <c r="B33" s="554" t="s">
        <v>4</v>
      </c>
      <c r="C33" s="543" t="s">
        <v>120</v>
      </c>
      <c r="D33" s="545">
        <f>D26/D$22*100</f>
        <v>4.959898648679753</v>
      </c>
      <c r="E33" s="545">
        <f>E26/E$22*100</f>
        <v>4.959898648679753</v>
      </c>
      <c r="F33" s="545">
        <f aca="true" t="shared" si="26" ref="F33:Q33">F26/F$22*100</f>
        <v>4.494878692582629</v>
      </c>
      <c r="G33" s="545">
        <f t="shared" si="26"/>
        <v>5.118183336729504</v>
      </c>
      <c r="H33" s="545">
        <f t="shared" si="26"/>
        <v>5.428321831438622</v>
      </c>
      <c r="I33" s="545">
        <f t="shared" si="26"/>
        <v>5.9133883627055965</v>
      </c>
      <c r="J33" s="545">
        <f t="shared" si="26"/>
        <v>6.142739400785794</v>
      </c>
      <c r="K33" s="568">
        <f t="shared" si="26"/>
        <v>5.474531390180967</v>
      </c>
      <c r="L33" s="545">
        <f t="shared" si="26"/>
        <v>6.36368853250833</v>
      </c>
      <c r="M33" s="545">
        <f t="shared" si="26"/>
        <v>6.004969162919295</v>
      </c>
      <c r="N33" s="545">
        <f t="shared" si="26"/>
        <v>6.176496208586253</v>
      </c>
      <c r="O33" s="545">
        <f t="shared" si="26"/>
        <v>6.331794717403873</v>
      </c>
      <c r="P33" s="545">
        <f>P26/P$22*100</f>
        <v>6.468346382190214</v>
      </c>
      <c r="Q33" s="568">
        <f t="shared" si="26"/>
        <v>6.285405692250046</v>
      </c>
    </row>
    <row r="34" spans="1:17" ht="16.5">
      <c r="A34" s="487"/>
      <c r="B34" s="554" t="s">
        <v>5</v>
      </c>
      <c r="C34" s="543" t="s">
        <v>120</v>
      </c>
      <c r="D34" s="545">
        <f aca="true" t="shared" si="27" ref="D34:Q35">D27/D$22*100</f>
        <v>26.309340654787718</v>
      </c>
      <c r="E34" s="545">
        <f>E27/E$22*100</f>
        <v>26.309340654787718</v>
      </c>
      <c r="F34" s="545">
        <f t="shared" si="27"/>
        <v>25.50408622839719</v>
      </c>
      <c r="G34" s="545">
        <f t="shared" si="27"/>
        <v>28.857775561377437</v>
      </c>
      <c r="H34" s="545">
        <f t="shared" si="27"/>
        <v>31.505015207155925</v>
      </c>
      <c r="I34" s="545">
        <f t="shared" si="27"/>
        <v>31.90272458303091</v>
      </c>
      <c r="J34" s="545">
        <f t="shared" si="27"/>
        <v>33.55798952377971</v>
      </c>
      <c r="K34" s="568">
        <f>K27/K$22*100</f>
        <v>30.505818162070568</v>
      </c>
      <c r="L34" s="545">
        <f t="shared" si="27"/>
        <v>35.319201891655524</v>
      </c>
      <c r="M34" s="545">
        <f t="shared" si="27"/>
        <v>38.96524066357443</v>
      </c>
      <c r="N34" s="545">
        <f t="shared" si="27"/>
        <v>40.97949715944136</v>
      </c>
      <c r="O34" s="545">
        <f t="shared" si="27"/>
        <v>43.088412144854296</v>
      </c>
      <c r="P34" s="545">
        <f t="shared" si="27"/>
        <v>45.28456058969447</v>
      </c>
      <c r="Q34" s="568">
        <f t="shared" si="27"/>
        <v>41.300253343506895</v>
      </c>
    </row>
    <row r="35" spans="1:17" ht="33">
      <c r="A35" s="487"/>
      <c r="B35" s="554" t="s">
        <v>6</v>
      </c>
      <c r="C35" s="543" t="s">
        <v>120</v>
      </c>
      <c r="D35" s="545">
        <f>D28/D$22*100</f>
        <v>4.221584479842523</v>
      </c>
      <c r="E35" s="545">
        <f>E28/E$22*100</f>
        <v>4.221584479842523</v>
      </c>
      <c r="F35" s="545">
        <f>F28/F$22*100</f>
        <v>3.346723466971095</v>
      </c>
      <c r="G35" s="545">
        <f t="shared" si="27"/>
        <v>4.30975986310532</v>
      </c>
      <c r="H35" s="545">
        <f t="shared" si="27"/>
        <v>4.5998271785388445</v>
      </c>
      <c r="I35" s="545">
        <f t="shared" si="27"/>
        <v>4.297859075104671</v>
      </c>
      <c r="J35" s="545">
        <f t="shared" si="27"/>
        <v>4.291717545042431</v>
      </c>
      <c r="K35" s="568">
        <f t="shared" si="27"/>
        <v>4.18339618598823</v>
      </c>
      <c r="L35" s="545">
        <f>L28/L$22*100</f>
        <v>4.273967615553004</v>
      </c>
      <c r="M35" s="545">
        <f t="shared" si="27"/>
        <v>4.033045238402843</v>
      </c>
      <c r="N35" s="545">
        <f t="shared" si="27"/>
        <v>3.987656701539092</v>
      </c>
      <c r="O35" s="545">
        <f t="shared" si="27"/>
        <v>3.929666380362233</v>
      </c>
      <c r="P35" s="545">
        <f t="shared" si="27"/>
        <v>3.8590054793025277</v>
      </c>
      <c r="Q35" s="568">
        <f>Q28/Q$22*100</f>
        <v>3.9952088794642613</v>
      </c>
    </row>
    <row r="36" spans="1:19" ht="33">
      <c r="A36" s="543">
        <v>1.5</v>
      </c>
      <c r="B36" s="566" t="s">
        <v>430</v>
      </c>
      <c r="C36" s="487" t="s">
        <v>459</v>
      </c>
      <c r="D36" s="574">
        <v>204.008</v>
      </c>
      <c r="E36" s="574"/>
      <c r="F36" s="575">
        <v>198.421</v>
      </c>
      <c r="G36" s="575">
        <v>198.368</v>
      </c>
      <c r="H36" s="575">
        <v>195.219</v>
      </c>
      <c r="I36" s="575">
        <f>H36*0.986</f>
        <v>192.485934</v>
      </c>
      <c r="J36" s="575">
        <f>I36*1.039</f>
        <v>199.99288542599996</v>
      </c>
      <c r="K36" s="576">
        <f>(J36+I36+H36+G36+F36)/5</f>
        <v>196.8973638852</v>
      </c>
      <c r="L36" s="575">
        <f>J36*0.986</f>
        <v>197.19298503003597</v>
      </c>
      <c r="M36" s="575">
        <f>L36*0.986</f>
        <v>194.43228323961546</v>
      </c>
      <c r="N36" s="575">
        <f>M36*0.986</f>
        <v>191.71023127426085</v>
      </c>
      <c r="O36" s="575">
        <f>N36*0.986</f>
        <v>189.0262880364212</v>
      </c>
      <c r="P36" s="575">
        <f>O36*0.986</f>
        <v>186.37992000391128</v>
      </c>
      <c r="Q36" s="577">
        <f>SUM(L36:P36)/5</f>
        <v>191.74834151684894</v>
      </c>
      <c r="S36" s="439">
        <f>(H36/D36)^0.33</f>
        <v>0.9855728067477453</v>
      </c>
    </row>
    <row r="37" spans="1:19" ht="52.5" customHeight="1">
      <c r="A37" s="543">
        <v>1.6</v>
      </c>
      <c r="B37" s="578" t="s">
        <v>431</v>
      </c>
      <c r="C37" s="487" t="s">
        <v>411</v>
      </c>
      <c r="D37" s="579">
        <v>26620</v>
      </c>
      <c r="E37" s="579"/>
      <c r="F37" s="580">
        <v>28388</v>
      </c>
      <c r="G37" s="580">
        <v>29324</v>
      </c>
      <c r="H37" s="580">
        <v>29870</v>
      </c>
      <c r="I37" s="580">
        <f>H37*1.039</f>
        <v>31034.929999999997</v>
      </c>
      <c r="J37" s="580">
        <f>I37*1.039</f>
        <v>32245.292269999994</v>
      </c>
      <c r="K37" s="581">
        <f>(J37+I37+H37+G37+F37)/5</f>
        <v>30172.444454</v>
      </c>
      <c r="L37" s="580">
        <f>J37*1.039</f>
        <v>33502.85866852999</v>
      </c>
      <c r="M37" s="580">
        <f>L37*1.039</f>
        <v>34809.470156602656</v>
      </c>
      <c r="N37" s="580">
        <f>M37*1.039</f>
        <v>36167.03949271016</v>
      </c>
      <c r="O37" s="580">
        <f>N37*1.039</f>
        <v>37577.55403292585</v>
      </c>
      <c r="P37" s="580">
        <f>O37*1.039</f>
        <v>39043.078640209955</v>
      </c>
      <c r="Q37" s="582">
        <f>(L37+M37+N37+O37+P37)/5</f>
        <v>36220.00019819572</v>
      </c>
      <c r="S37" s="439">
        <f>(H37/D37)^0.33</f>
        <v>1.0387450484657124</v>
      </c>
    </row>
    <row r="38" spans="1:17" ht="19.5" customHeight="1">
      <c r="A38" s="538">
        <v>2</v>
      </c>
      <c r="B38" s="583" t="s">
        <v>432</v>
      </c>
      <c r="C38" s="487"/>
      <c r="D38" s="487"/>
      <c r="E38" s="487"/>
      <c r="F38" s="584"/>
      <c r="G38" s="584"/>
      <c r="H38" s="584"/>
      <c r="I38" s="584"/>
      <c r="J38" s="584"/>
      <c r="K38" s="585"/>
      <c r="L38" s="584"/>
      <c r="M38" s="584"/>
      <c r="N38" s="584"/>
      <c r="O38" s="584"/>
      <c r="P38" s="584"/>
      <c r="Q38" s="586"/>
    </row>
    <row r="39" spans="1:19" s="401" customFormat="1" ht="26.25" customHeight="1">
      <c r="A39" s="482">
        <v>2.1</v>
      </c>
      <c r="B39" s="587" t="s">
        <v>7</v>
      </c>
      <c r="C39" s="487" t="s">
        <v>412</v>
      </c>
      <c r="D39" s="476">
        <v>79081</v>
      </c>
      <c r="E39" s="476">
        <v>81796</v>
      </c>
      <c r="F39" s="476">
        <v>79281</v>
      </c>
      <c r="G39" s="476">
        <v>79421</v>
      </c>
      <c r="H39" s="476">
        <v>78386</v>
      </c>
      <c r="I39" s="476">
        <v>77495</v>
      </c>
      <c r="J39" s="476">
        <v>77500</v>
      </c>
      <c r="K39" s="581">
        <f>(J39+I39+H39+G39+F39)/5</f>
        <v>78416.6</v>
      </c>
      <c r="L39" s="417">
        <f>SUM(L41:L45)</f>
        <v>77460</v>
      </c>
      <c r="M39" s="417">
        <f>SUM(M41:M45)</f>
        <v>77560</v>
      </c>
      <c r="N39" s="417">
        <f>SUM(N41:N45)</f>
        <v>77510</v>
      </c>
      <c r="O39" s="417">
        <f>SUM(O41:O45)</f>
        <v>77560</v>
      </c>
      <c r="P39" s="417">
        <f>SUM(P41:P45)</f>
        <v>77260</v>
      </c>
      <c r="Q39" s="582">
        <f aca="true" t="shared" si="28" ref="Q39:Q46">(L39+M39+N39+O39+P39)/5</f>
        <v>77470</v>
      </c>
      <c r="R39" s="401">
        <f aca="true" t="shared" si="29" ref="R39:R63">Q39/5</f>
        <v>15494</v>
      </c>
      <c r="S39" s="428">
        <f aca="true" t="shared" si="30" ref="S39:S70">SUM(L39:P39)/5</f>
        <v>77470</v>
      </c>
    </row>
    <row r="40" spans="1:19" ht="16.5">
      <c r="A40" s="487"/>
      <c r="B40" s="549" t="s">
        <v>327</v>
      </c>
      <c r="C40" s="487"/>
      <c r="D40" s="588"/>
      <c r="E40" s="588"/>
      <c r="F40" s="588"/>
      <c r="G40" s="588"/>
      <c r="H40" s="588"/>
      <c r="I40" s="589"/>
      <c r="J40" s="584"/>
      <c r="K40" s="581"/>
      <c r="L40" s="584"/>
      <c r="M40" s="584"/>
      <c r="N40" s="584"/>
      <c r="O40" s="584"/>
      <c r="P40" s="584"/>
      <c r="Q40" s="580">
        <f t="shared" si="28"/>
        <v>0</v>
      </c>
      <c r="R40" s="401">
        <f t="shared" si="29"/>
        <v>0</v>
      </c>
      <c r="S40" s="428">
        <f t="shared" si="30"/>
        <v>0</v>
      </c>
    </row>
    <row r="41" spans="1:22" ht="16.5">
      <c r="A41" s="487"/>
      <c r="B41" s="558" t="s">
        <v>8</v>
      </c>
      <c r="C41" s="487" t="s">
        <v>412</v>
      </c>
      <c r="D41" s="590">
        <v>55350</v>
      </c>
      <c r="E41" s="590">
        <v>55590</v>
      </c>
      <c r="F41" s="590">
        <v>55110</v>
      </c>
      <c r="G41" s="590">
        <v>55492</v>
      </c>
      <c r="H41" s="590">
        <v>55285</v>
      </c>
      <c r="I41" s="590">
        <v>55312</v>
      </c>
      <c r="J41" s="590">
        <v>55100</v>
      </c>
      <c r="K41" s="581">
        <f aca="true" t="shared" si="31" ref="K41:K47">(J41+I41+H41+G41+F41)/5</f>
        <v>55259.8</v>
      </c>
      <c r="L41" s="591">
        <v>54960</v>
      </c>
      <c r="M41" s="591">
        <v>54860</v>
      </c>
      <c r="N41" s="591">
        <v>54660</v>
      </c>
      <c r="O41" s="591">
        <v>54460</v>
      </c>
      <c r="P41" s="591">
        <v>54010</v>
      </c>
      <c r="Q41" s="582">
        <f t="shared" si="28"/>
        <v>54590</v>
      </c>
      <c r="R41" s="401">
        <f t="shared" si="29"/>
        <v>10918</v>
      </c>
      <c r="S41" s="428">
        <f t="shared" si="30"/>
        <v>54590</v>
      </c>
      <c r="T41" s="421"/>
      <c r="U41" s="421"/>
      <c r="V41" s="421"/>
    </row>
    <row r="42" spans="1:19" ht="16.5">
      <c r="A42" s="487"/>
      <c r="B42" s="558" t="s">
        <v>9</v>
      </c>
      <c r="C42" s="487" t="s">
        <v>412</v>
      </c>
      <c r="D42" s="590">
        <v>11343</v>
      </c>
      <c r="E42" s="590">
        <v>11800</v>
      </c>
      <c r="F42" s="590">
        <v>11916</v>
      </c>
      <c r="G42" s="590">
        <v>11865</v>
      </c>
      <c r="H42" s="590">
        <v>11701</v>
      </c>
      <c r="I42" s="590">
        <v>11082</v>
      </c>
      <c r="J42" s="590">
        <v>11100</v>
      </c>
      <c r="K42" s="581">
        <f t="shared" si="31"/>
        <v>11532.8</v>
      </c>
      <c r="L42" s="580">
        <v>11150</v>
      </c>
      <c r="M42" s="580">
        <v>11200</v>
      </c>
      <c r="N42" s="580">
        <v>11300</v>
      </c>
      <c r="O42" s="580">
        <v>11400</v>
      </c>
      <c r="P42" s="580">
        <v>11500</v>
      </c>
      <c r="Q42" s="582">
        <f t="shared" si="28"/>
        <v>11310</v>
      </c>
      <c r="R42" s="401">
        <f t="shared" si="29"/>
        <v>2262</v>
      </c>
      <c r="S42" s="428">
        <f t="shared" si="30"/>
        <v>11310</v>
      </c>
    </row>
    <row r="43" spans="1:19" ht="15.75" customHeight="1">
      <c r="A43" s="487"/>
      <c r="B43" s="558" t="s">
        <v>10</v>
      </c>
      <c r="C43" s="487" t="s">
        <v>412</v>
      </c>
      <c r="D43" s="469">
        <v>4523</v>
      </c>
      <c r="E43" s="469">
        <v>5677</v>
      </c>
      <c r="F43" s="469">
        <v>4303</v>
      </c>
      <c r="G43" s="469">
        <v>4157</v>
      </c>
      <c r="H43" s="469">
        <v>3985</v>
      </c>
      <c r="I43" s="469">
        <v>3916</v>
      </c>
      <c r="J43" s="469">
        <v>4000</v>
      </c>
      <c r="K43" s="581">
        <f t="shared" si="31"/>
        <v>4072.2</v>
      </c>
      <c r="L43" s="580">
        <v>4050</v>
      </c>
      <c r="M43" s="580">
        <v>4100</v>
      </c>
      <c r="N43" s="580">
        <v>4150</v>
      </c>
      <c r="O43" s="580">
        <v>4200</v>
      </c>
      <c r="P43" s="580">
        <v>4250</v>
      </c>
      <c r="Q43" s="582">
        <f t="shared" si="28"/>
        <v>4150</v>
      </c>
      <c r="R43" s="401">
        <f t="shared" si="29"/>
        <v>830</v>
      </c>
      <c r="S43" s="428">
        <f t="shared" si="30"/>
        <v>4150</v>
      </c>
    </row>
    <row r="44" spans="1:19" ht="16.5">
      <c r="A44" s="487"/>
      <c r="B44" s="558" t="s">
        <v>11</v>
      </c>
      <c r="C44" s="487" t="s">
        <v>412</v>
      </c>
      <c r="D44" s="590">
        <v>6557</v>
      </c>
      <c r="E44" s="590">
        <v>7000</v>
      </c>
      <c r="F44" s="590">
        <v>6580</v>
      </c>
      <c r="G44" s="590">
        <v>6496</v>
      </c>
      <c r="H44" s="590">
        <v>6476</v>
      </c>
      <c r="I44" s="590">
        <v>6307</v>
      </c>
      <c r="J44" s="590">
        <v>6400</v>
      </c>
      <c r="K44" s="581">
        <f t="shared" si="31"/>
        <v>6451.8</v>
      </c>
      <c r="L44" s="580">
        <v>6400</v>
      </c>
      <c r="M44" s="580">
        <v>6450</v>
      </c>
      <c r="N44" s="580">
        <v>6450</v>
      </c>
      <c r="O44" s="580">
        <v>6500</v>
      </c>
      <c r="P44" s="580">
        <v>6500</v>
      </c>
      <c r="Q44" s="582">
        <f t="shared" si="28"/>
        <v>6460</v>
      </c>
      <c r="R44" s="401">
        <f t="shared" si="29"/>
        <v>1292</v>
      </c>
      <c r="S44" s="428">
        <f t="shared" si="30"/>
        <v>6460</v>
      </c>
    </row>
    <row r="45" spans="1:19" ht="16.5">
      <c r="A45" s="487"/>
      <c r="B45" s="558" t="s">
        <v>12</v>
      </c>
      <c r="C45" s="487" t="s">
        <v>412</v>
      </c>
      <c r="D45" s="476">
        <v>1308</v>
      </c>
      <c r="E45" s="476">
        <v>1729</v>
      </c>
      <c r="F45" s="476">
        <v>1372</v>
      </c>
      <c r="G45" s="476">
        <v>1411</v>
      </c>
      <c r="H45" s="476">
        <v>939</v>
      </c>
      <c r="I45" s="590">
        <v>878</v>
      </c>
      <c r="J45" s="590">
        <v>900</v>
      </c>
      <c r="K45" s="581">
        <f t="shared" si="31"/>
        <v>1100</v>
      </c>
      <c r="L45" s="580">
        <v>900</v>
      </c>
      <c r="M45" s="580">
        <v>950</v>
      </c>
      <c r="N45" s="580">
        <v>950</v>
      </c>
      <c r="O45" s="580">
        <v>1000</v>
      </c>
      <c r="P45" s="580">
        <v>1000</v>
      </c>
      <c r="Q45" s="582">
        <f t="shared" si="28"/>
        <v>960</v>
      </c>
      <c r="R45" s="401">
        <f t="shared" si="29"/>
        <v>192</v>
      </c>
      <c r="S45" s="428">
        <f t="shared" si="30"/>
        <v>960</v>
      </c>
    </row>
    <row r="46" spans="1:19" ht="22.5" customHeight="1">
      <c r="A46" s="487">
        <v>2.2</v>
      </c>
      <c r="B46" s="549" t="s">
        <v>413</v>
      </c>
      <c r="C46" s="487" t="s">
        <v>435</v>
      </c>
      <c r="D46" s="590">
        <v>291171</v>
      </c>
      <c r="E46" s="590">
        <v>305908</v>
      </c>
      <c r="F46" s="590">
        <v>305315</v>
      </c>
      <c r="G46" s="590">
        <v>305943</v>
      </c>
      <c r="H46" s="590">
        <v>291298</v>
      </c>
      <c r="I46" s="590">
        <v>323034</v>
      </c>
      <c r="J46" s="469">
        <v>305000</v>
      </c>
      <c r="K46" s="581">
        <f>(J46+I46+H46+G46+F46)/5</f>
        <v>306118</v>
      </c>
      <c r="L46" s="580">
        <v>315600</v>
      </c>
      <c r="M46" s="580">
        <v>317485</v>
      </c>
      <c r="N46" s="580">
        <v>318852.5</v>
      </c>
      <c r="O46" s="580">
        <v>320102.5</v>
      </c>
      <c r="P46" s="580">
        <v>320025</v>
      </c>
      <c r="Q46" s="582">
        <f t="shared" si="28"/>
        <v>318413</v>
      </c>
      <c r="R46" s="401">
        <f t="shared" si="29"/>
        <v>63682.6</v>
      </c>
      <c r="S46" s="428">
        <f t="shared" si="30"/>
        <v>318413</v>
      </c>
    </row>
    <row r="47" spans="1:19" ht="18.75" customHeight="1">
      <c r="A47" s="487"/>
      <c r="B47" s="549" t="s">
        <v>453</v>
      </c>
      <c r="C47" s="487" t="s">
        <v>454</v>
      </c>
      <c r="D47" s="590">
        <v>1090879</v>
      </c>
      <c r="E47" s="590"/>
      <c r="F47" s="590">
        <v>1103136</v>
      </c>
      <c r="G47" s="590">
        <v>1115523</v>
      </c>
      <c r="H47" s="590">
        <v>1127905</v>
      </c>
      <c r="I47" s="591">
        <v>1140355</v>
      </c>
      <c r="J47" s="592">
        <v>1152873.4611348452</v>
      </c>
      <c r="K47" s="581">
        <f t="shared" si="31"/>
        <v>1127958.492226969</v>
      </c>
      <c r="L47" s="592">
        <f>(J47*1.1/100)+J47</f>
        <v>1165555.0692073284</v>
      </c>
      <c r="M47" s="592">
        <f>(L47*1.1/100)+L47</f>
        <v>1178376.174968609</v>
      </c>
      <c r="N47" s="592">
        <f>(M47*1.1/100)+M47</f>
        <v>1191338.3128932635</v>
      </c>
      <c r="O47" s="592">
        <f>(N47*1.1/100)+N47</f>
        <v>1204443.0343350894</v>
      </c>
      <c r="P47" s="592">
        <f>(O47*1.1/100)+O47</f>
        <v>1217691.9077127753</v>
      </c>
      <c r="Q47" s="593">
        <f>(L47+M47+N47+O47+P47)/5</f>
        <v>1191480.899823413</v>
      </c>
      <c r="R47" s="401">
        <f t="shared" si="29"/>
        <v>238296.1799646826</v>
      </c>
      <c r="S47" s="428">
        <f t="shared" si="30"/>
        <v>1191480.899823413</v>
      </c>
    </row>
    <row r="48" spans="1:19" ht="24.75" customHeight="1">
      <c r="A48" s="487">
        <v>2.3</v>
      </c>
      <c r="B48" s="549" t="s">
        <v>13</v>
      </c>
      <c r="C48" s="487" t="s">
        <v>14</v>
      </c>
      <c r="D48" s="594">
        <f aca="true" t="shared" si="32" ref="D48:I48">D46*1000/D47</f>
        <v>266.91411238093315</v>
      </c>
      <c r="E48" s="594" t="e">
        <f t="shared" si="32"/>
        <v>#DIV/0!</v>
      </c>
      <c r="F48" s="594">
        <f t="shared" si="32"/>
        <v>276.77004467264237</v>
      </c>
      <c r="G48" s="594">
        <f t="shared" si="32"/>
        <v>274.25969702103856</v>
      </c>
      <c r="H48" s="594">
        <f t="shared" si="32"/>
        <v>258.2646588143505</v>
      </c>
      <c r="I48" s="594">
        <f t="shared" si="32"/>
        <v>283.27494508289084</v>
      </c>
      <c r="J48" s="594">
        <f aca="true" t="shared" si="33" ref="J48:Q48">J46*1000/J47</f>
        <v>264.5563544326621</v>
      </c>
      <c r="K48" s="595">
        <f t="shared" si="33"/>
        <v>271.3911922375975</v>
      </c>
      <c r="L48" s="594">
        <f t="shared" si="33"/>
        <v>270.77227695010026</v>
      </c>
      <c r="M48" s="594">
        <f t="shared" si="33"/>
        <v>269.42584782695354</v>
      </c>
      <c r="N48" s="594">
        <f t="shared" si="33"/>
        <v>267.6422780575573</v>
      </c>
      <c r="O48" s="594">
        <f t="shared" si="33"/>
        <v>265.76806945187906</v>
      </c>
      <c r="P48" s="594">
        <f t="shared" si="33"/>
        <v>262.8127837369897</v>
      </c>
      <c r="Q48" s="595">
        <f t="shared" si="33"/>
        <v>267.24138007347943</v>
      </c>
      <c r="R48" s="401">
        <f t="shared" si="29"/>
        <v>53.448276014695885</v>
      </c>
      <c r="S48" s="428">
        <f t="shared" si="30"/>
        <v>267.28425120469603</v>
      </c>
    </row>
    <row r="49" spans="1:19" ht="33">
      <c r="A49" s="487">
        <v>2.4</v>
      </c>
      <c r="B49" s="549" t="s">
        <v>15</v>
      </c>
      <c r="C49" s="487"/>
      <c r="D49" s="487"/>
      <c r="E49" s="487"/>
      <c r="F49" s="596"/>
      <c r="G49" s="596"/>
      <c r="H49" s="596"/>
      <c r="I49" s="596"/>
      <c r="J49" s="596"/>
      <c r="K49" s="581"/>
      <c r="L49" s="567"/>
      <c r="M49" s="567"/>
      <c r="N49" s="567"/>
      <c r="O49" s="567"/>
      <c r="P49" s="567"/>
      <c r="Q49" s="586"/>
      <c r="R49" s="401">
        <f t="shared" si="29"/>
        <v>0</v>
      </c>
      <c r="S49" s="428">
        <f t="shared" si="30"/>
        <v>0</v>
      </c>
    </row>
    <row r="50" spans="1:19" ht="16.5">
      <c r="A50" s="487"/>
      <c r="B50" s="549" t="s">
        <v>16</v>
      </c>
      <c r="C50" s="487" t="s">
        <v>412</v>
      </c>
      <c r="D50" s="590">
        <v>53705</v>
      </c>
      <c r="E50" s="597">
        <v>53705</v>
      </c>
      <c r="F50" s="597">
        <v>53445</v>
      </c>
      <c r="G50" s="597">
        <v>53757</v>
      </c>
      <c r="H50" s="597">
        <v>53659</v>
      </c>
      <c r="I50" s="597">
        <v>53717</v>
      </c>
      <c r="J50" s="597">
        <v>53500</v>
      </c>
      <c r="K50" s="581">
        <f aca="true" t="shared" si="34" ref="K50:K74">(J50+I50+H50+G50+F50)/5</f>
        <v>53615.6</v>
      </c>
      <c r="L50" s="590">
        <v>53300</v>
      </c>
      <c r="M50" s="590">
        <v>53100</v>
      </c>
      <c r="N50" s="590">
        <v>52800</v>
      </c>
      <c r="O50" s="590">
        <v>52500</v>
      </c>
      <c r="P50" s="590">
        <v>52000</v>
      </c>
      <c r="Q50" s="582">
        <f aca="true" t="shared" si="35" ref="Q50:Q102">(L50+M50+N50+O50+P50)/5</f>
        <v>52740</v>
      </c>
      <c r="R50" s="401">
        <f t="shared" si="29"/>
        <v>10548</v>
      </c>
      <c r="S50" s="428">
        <f t="shared" si="30"/>
        <v>52740</v>
      </c>
    </row>
    <row r="51" spans="1:19" ht="16.5">
      <c r="A51" s="487"/>
      <c r="B51" s="598" t="s">
        <v>17</v>
      </c>
      <c r="C51" s="487" t="s">
        <v>435</v>
      </c>
      <c r="D51" s="599">
        <v>285185</v>
      </c>
      <c r="E51" s="590">
        <v>299895</v>
      </c>
      <c r="F51" s="590">
        <v>299133</v>
      </c>
      <c r="G51" s="590">
        <v>298984</v>
      </c>
      <c r="H51" s="590">
        <v>284865</v>
      </c>
      <c r="I51" s="590">
        <v>317042</v>
      </c>
      <c r="J51" s="590">
        <v>300000</v>
      </c>
      <c r="K51" s="581">
        <f t="shared" si="34"/>
        <v>300004.8</v>
      </c>
      <c r="L51" s="590">
        <v>309140</v>
      </c>
      <c r="M51" s="590">
        <v>310635</v>
      </c>
      <c r="N51" s="590">
        <v>311520</v>
      </c>
      <c r="O51" s="590">
        <v>312375</v>
      </c>
      <c r="P51" s="590">
        <v>312000</v>
      </c>
      <c r="Q51" s="582">
        <f t="shared" si="35"/>
        <v>311134</v>
      </c>
      <c r="R51" s="401">
        <f t="shared" si="29"/>
        <v>62226.8</v>
      </c>
      <c r="S51" s="428">
        <f t="shared" si="30"/>
        <v>311134</v>
      </c>
    </row>
    <row r="52" spans="1:19" ht="16.5">
      <c r="A52" s="487"/>
      <c r="B52" s="549" t="s">
        <v>18</v>
      </c>
      <c r="C52" s="487" t="s">
        <v>412</v>
      </c>
      <c r="D52" s="599">
        <v>1636</v>
      </c>
      <c r="E52" s="590">
        <v>1610</v>
      </c>
      <c r="F52" s="590">
        <v>1656</v>
      </c>
      <c r="G52" s="600">
        <v>1712.1</v>
      </c>
      <c r="H52" s="600">
        <v>1613</v>
      </c>
      <c r="I52" s="600">
        <v>1585</v>
      </c>
      <c r="J52" s="590">
        <v>1600</v>
      </c>
      <c r="K52" s="581">
        <f t="shared" si="34"/>
        <v>1633.22</v>
      </c>
      <c r="L52" s="590">
        <v>1650</v>
      </c>
      <c r="M52" s="590">
        <v>1750</v>
      </c>
      <c r="N52" s="590">
        <v>1850</v>
      </c>
      <c r="O52" s="590">
        <v>1950</v>
      </c>
      <c r="P52" s="590">
        <v>2000</v>
      </c>
      <c r="Q52" s="582">
        <f t="shared" si="35"/>
        <v>1840</v>
      </c>
      <c r="R52" s="401">
        <f t="shared" si="29"/>
        <v>368</v>
      </c>
      <c r="S52" s="428">
        <f t="shared" si="30"/>
        <v>1840</v>
      </c>
    </row>
    <row r="53" spans="1:19" ht="16.5">
      <c r="A53" s="487"/>
      <c r="B53" s="598" t="s">
        <v>17</v>
      </c>
      <c r="C53" s="487" t="s">
        <v>435</v>
      </c>
      <c r="D53" s="599">
        <v>5959</v>
      </c>
      <c r="E53" s="590">
        <v>5892.6</v>
      </c>
      <c r="F53" s="600">
        <v>6159</v>
      </c>
      <c r="G53" s="600">
        <v>6923</v>
      </c>
      <c r="H53" s="600">
        <v>6400</v>
      </c>
      <c r="I53" s="600">
        <v>6168</v>
      </c>
      <c r="J53" s="590">
        <v>6240</v>
      </c>
      <c r="K53" s="581">
        <f t="shared" si="34"/>
        <v>6378</v>
      </c>
      <c r="L53" s="590">
        <v>6435</v>
      </c>
      <c r="M53" s="590">
        <v>6825</v>
      </c>
      <c r="N53" s="590">
        <v>7307.5</v>
      </c>
      <c r="O53" s="590">
        <v>7702.5</v>
      </c>
      <c r="P53" s="590">
        <v>8000</v>
      </c>
      <c r="Q53" s="582">
        <f t="shared" si="35"/>
        <v>7254</v>
      </c>
      <c r="R53" s="401">
        <f t="shared" si="29"/>
        <v>1450.8</v>
      </c>
      <c r="S53" s="428">
        <f t="shared" si="30"/>
        <v>7254</v>
      </c>
    </row>
    <row r="54" spans="1:19" ht="16.5">
      <c r="A54" s="487"/>
      <c r="B54" s="549" t="s">
        <v>19</v>
      </c>
      <c r="C54" s="487" t="s">
        <v>412</v>
      </c>
      <c r="D54" s="599">
        <v>7080</v>
      </c>
      <c r="E54" s="590">
        <v>7150</v>
      </c>
      <c r="F54" s="600">
        <v>7811</v>
      </c>
      <c r="G54" s="600">
        <v>7595.2</v>
      </c>
      <c r="H54" s="600">
        <v>7192</v>
      </c>
      <c r="I54" s="601">
        <v>7008.96</v>
      </c>
      <c r="J54" s="590">
        <v>7000</v>
      </c>
      <c r="K54" s="581">
        <f t="shared" si="34"/>
        <v>7321.432000000001</v>
      </c>
      <c r="L54" s="590">
        <v>7050</v>
      </c>
      <c r="M54" s="590">
        <v>7100</v>
      </c>
      <c r="N54" s="590">
        <v>7200</v>
      </c>
      <c r="O54" s="590">
        <v>7300</v>
      </c>
      <c r="P54" s="590">
        <v>7400</v>
      </c>
      <c r="Q54" s="582">
        <f t="shared" si="35"/>
        <v>7210</v>
      </c>
      <c r="R54" s="401">
        <f t="shared" si="29"/>
        <v>1442</v>
      </c>
      <c r="S54" s="428">
        <f t="shared" si="30"/>
        <v>7210</v>
      </c>
    </row>
    <row r="55" spans="1:19" ht="16.5">
      <c r="A55" s="487"/>
      <c r="B55" s="602" t="s">
        <v>20</v>
      </c>
      <c r="C55" s="487" t="s">
        <v>435</v>
      </c>
      <c r="D55" s="603">
        <v>135100</v>
      </c>
      <c r="E55" s="590">
        <v>13227.5</v>
      </c>
      <c r="F55" s="600">
        <v>149300</v>
      </c>
      <c r="G55" s="600">
        <v>140199.88</v>
      </c>
      <c r="H55" s="600">
        <v>132200</v>
      </c>
      <c r="I55" s="604">
        <v>128264</v>
      </c>
      <c r="J55" s="590">
        <v>129500</v>
      </c>
      <c r="K55" s="581">
        <f t="shared" si="34"/>
        <v>135892.776</v>
      </c>
      <c r="L55" s="590">
        <v>130425</v>
      </c>
      <c r="M55" s="590">
        <v>134900</v>
      </c>
      <c r="N55" s="590">
        <v>140400</v>
      </c>
      <c r="O55" s="590">
        <v>146000</v>
      </c>
      <c r="P55" s="590">
        <v>151700</v>
      </c>
      <c r="Q55" s="582">
        <f t="shared" si="35"/>
        <v>140685</v>
      </c>
      <c r="R55" s="401">
        <f t="shared" si="29"/>
        <v>28137</v>
      </c>
      <c r="S55" s="428">
        <f t="shared" si="30"/>
        <v>140685</v>
      </c>
    </row>
    <row r="56" spans="1:25" ht="16.5">
      <c r="A56" s="487"/>
      <c r="B56" s="549" t="s">
        <v>21</v>
      </c>
      <c r="C56" s="487" t="s">
        <v>412</v>
      </c>
      <c r="D56" s="599">
        <v>4033</v>
      </c>
      <c r="E56" s="590">
        <v>3885</v>
      </c>
      <c r="F56" s="590">
        <v>3809</v>
      </c>
      <c r="G56" s="590">
        <v>3705</v>
      </c>
      <c r="H56" s="590">
        <v>3599</v>
      </c>
      <c r="I56" s="591">
        <v>3487</v>
      </c>
      <c r="J56" s="590">
        <v>3500</v>
      </c>
      <c r="K56" s="581">
        <f t="shared" si="34"/>
        <v>3620</v>
      </c>
      <c r="L56" s="590">
        <v>3500</v>
      </c>
      <c r="M56" s="590">
        <v>3550</v>
      </c>
      <c r="N56" s="590">
        <v>3550</v>
      </c>
      <c r="O56" s="590">
        <v>3600</v>
      </c>
      <c r="P56" s="590">
        <v>3650</v>
      </c>
      <c r="Q56" s="582">
        <f t="shared" si="35"/>
        <v>3570</v>
      </c>
      <c r="R56" s="401">
        <f t="shared" si="29"/>
        <v>714</v>
      </c>
      <c r="S56" s="428">
        <f t="shared" si="30"/>
        <v>3570</v>
      </c>
      <c r="X56" s="364">
        <f>SUM(X57:AB57)</f>
        <v>516.3820932656644</v>
      </c>
      <c r="Y56" s="364">
        <f>X56/5</f>
        <v>103.27641865313288</v>
      </c>
    </row>
    <row r="57" spans="1:28" ht="16.5">
      <c r="A57" s="487"/>
      <c r="B57" s="602" t="s">
        <v>20</v>
      </c>
      <c r="C57" s="487" t="s">
        <v>435</v>
      </c>
      <c r="D57" s="599">
        <v>8732</v>
      </c>
      <c r="E57" s="590">
        <v>8158.5</v>
      </c>
      <c r="F57" s="600">
        <v>7360</v>
      </c>
      <c r="G57" s="600">
        <v>8106.298000000001</v>
      </c>
      <c r="H57" s="600">
        <v>8195</v>
      </c>
      <c r="I57" s="600">
        <v>6312</v>
      </c>
      <c r="J57" s="590">
        <v>6370</v>
      </c>
      <c r="K57" s="581">
        <f t="shared" si="34"/>
        <v>7268.659600000001</v>
      </c>
      <c r="L57" s="590">
        <v>6475</v>
      </c>
      <c r="M57" s="590">
        <v>6745</v>
      </c>
      <c r="N57" s="590">
        <v>6922.5</v>
      </c>
      <c r="O57" s="590">
        <v>7200</v>
      </c>
      <c r="P57" s="590">
        <v>7482.5</v>
      </c>
      <c r="Q57" s="582">
        <f t="shared" si="35"/>
        <v>6965</v>
      </c>
      <c r="R57" s="401">
        <f t="shared" si="29"/>
        <v>1393</v>
      </c>
      <c r="S57" s="428">
        <f t="shared" si="30"/>
        <v>6965</v>
      </c>
      <c r="X57" s="364">
        <f>L57/J57*100</f>
        <v>101.64835164835165</v>
      </c>
      <c r="Y57" s="364">
        <f>M57/L57*100</f>
        <v>104.16988416988417</v>
      </c>
      <c r="Z57" s="364">
        <f>N57/M57*100</f>
        <v>102.63157894736842</v>
      </c>
      <c r="AA57" s="364">
        <f>O57/N57*100</f>
        <v>104.00866738894908</v>
      </c>
      <c r="AB57" s="364">
        <f>P57/O57*100</f>
        <v>103.9236111111111</v>
      </c>
    </row>
    <row r="58" spans="1:19" ht="16.5">
      <c r="A58" s="487"/>
      <c r="B58" s="549" t="s">
        <v>456</v>
      </c>
      <c r="C58" s="487" t="s">
        <v>412</v>
      </c>
      <c r="D58" s="599">
        <v>4520</v>
      </c>
      <c r="E58" s="590">
        <v>4800</v>
      </c>
      <c r="F58" s="590">
        <v>4574</v>
      </c>
      <c r="G58" s="590">
        <v>4423</v>
      </c>
      <c r="H58" s="590">
        <v>4496</v>
      </c>
      <c r="I58" s="600">
        <v>4437</v>
      </c>
      <c r="J58" s="590">
        <v>4500</v>
      </c>
      <c r="K58" s="581">
        <f t="shared" si="34"/>
        <v>4486</v>
      </c>
      <c r="L58" s="590">
        <v>4550</v>
      </c>
      <c r="M58" s="590">
        <v>4550</v>
      </c>
      <c r="N58" s="590">
        <v>4550</v>
      </c>
      <c r="O58" s="590">
        <v>4550</v>
      </c>
      <c r="P58" s="590">
        <v>4550</v>
      </c>
      <c r="Q58" s="582">
        <f t="shared" si="35"/>
        <v>4550</v>
      </c>
      <c r="R58" s="401">
        <f t="shared" si="29"/>
        <v>910</v>
      </c>
      <c r="S58" s="428">
        <f t="shared" si="30"/>
        <v>4550</v>
      </c>
    </row>
    <row r="59" spans="1:19" ht="16.5">
      <c r="A59" s="487"/>
      <c r="B59" s="605" t="s">
        <v>22</v>
      </c>
      <c r="C59" s="487" t="s">
        <v>435</v>
      </c>
      <c r="D59" s="590">
        <v>45434</v>
      </c>
      <c r="E59" s="606">
        <v>48336</v>
      </c>
      <c r="F59" s="606">
        <v>44093</v>
      </c>
      <c r="G59" s="606">
        <v>45037</v>
      </c>
      <c r="H59" s="607">
        <v>48948</v>
      </c>
      <c r="I59" s="603">
        <v>47363</v>
      </c>
      <c r="J59" s="606">
        <v>47250</v>
      </c>
      <c r="K59" s="581">
        <f t="shared" si="34"/>
        <v>46538.2</v>
      </c>
      <c r="L59" s="590">
        <v>47775</v>
      </c>
      <c r="M59" s="590">
        <v>50050</v>
      </c>
      <c r="N59" s="590">
        <v>50050</v>
      </c>
      <c r="O59" s="590">
        <v>52325</v>
      </c>
      <c r="P59" s="590">
        <v>52325</v>
      </c>
      <c r="Q59" s="582">
        <f t="shared" si="35"/>
        <v>50505</v>
      </c>
      <c r="R59" s="401">
        <f t="shared" si="29"/>
        <v>10101</v>
      </c>
      <c r="S59" s="428">
        <f t="shared" si="30"/>
        <v>50505</v>
      </c>
    </row>
    <row r="60" spans="1:19" ht="16.5">
      <c r="A60" s="487"/>
      <c r="B60" s="549" t="s">
        <v>23</v>
      </c>
      <c r="C60" s="487" t="s">
        <v>412</v>
      </c>
      <c r="D60" s="608">
        <v>791.5</v>
      </c>
      <c r="E60" s="599">
        <v>674</v>
      </c>
      <c r="F60" s="608">
        <v>751.2</v>
      </c>
      <c r="G60" s="584">
        <v>749</v>
      </c>
      <c r="H60" s="584">
        <v>749</v>
      </c>
      <c r="I60" s="590">
        <v>344</v>
      </c>
      <c r="J60" s="590">
        <v>400</v>
      </c>
      <c r="K60" s="581">
        <f t="shared" si="34"/>
        <v>598.64</v>
      </c>
      <c r="L60" s="590">
        <v>400</v>
      </c>
      <c r="M60" s="590">
        <v>400</v>
      </c>
      <c r="N60" s="590">
        <v>400</v>
      </c>
      <c r="O60" s="590">
        <v>400</v>
      </c>
      <c r="P60" s="590">
        <v>400</v>
      </c>
      <c r="Q60" s="582">
        <f t="shared" si="35"/>
        <v>400</v>
      </c>
      <c r="R60" s="401">
        <f t="shared" si="29"/>
        <v>80</v>
      </c>
      <c r="S60" s="428">
        <f t="shared" si="30"/>
        <v>400</v>
      </c>
    </row>
    <row r="61" spans="1:19" ht="16.5">
      <c r="A61" s="487"/>
      <c r="B61" s="605" t="s">
        <v>22</v>
      </c>
      <c r="C61" s="487" t="s">
        <v>435</v>
      </c>
      <c r="D61" s="590">
        <v>332</v>
      </c>
      <c r="E61" s="599">
        <v>350</v>
      </c>
      <c r="F61" s="584">
        <v>337.6</v>
      </c>
      <c r="G61" s="584">
        <v>411.7</v>
      </c>
      <c r="H61" s="584">
        <v>417.4</v>
      </c>
      <c r="I61" s="600">
        <v>220</v>
      </c>
      <c r="J61" s="590">
        <v>200</v>
      </c>
      <c r="K61" s="581">
        <f t="shared" si="34"/>
        <v>317.34</v>
      </c>
      <c r="L61" s="590">
        <v>200</v>
      </c>
      <c r="M61" s="590">
        <v>220</v>
      </c>
      <c r="N61" s="590">
        <v>240</v>
      </c>
      <c r="O61" s="590">
        <v>240</v>
      </c>
      <c r="P61" s="590">
        <v>240</v>
      </c>
      <c r="Q61" s="582">
        <f t="shared" si="35"/>
        <v>228</v>
      </c>
      <c r="R61" s="401">
        <f t="shared" si="29"/>
        <v>45.6</v>
      </c>
      <c r="S61" s="428">
        <f t="shared" si="30"/>
        <v>228</v>
      </c>
    </row>
    <row r="62" spans="1:19" ht="16.5">
      <c r="A62" s="487"/>
      <c r="B62" s="549" t="s">
        <v>24</v>
      </c>
      <c r="C62" s="487" t="s">
        <v>412</v>
      </c>
      <c r="D62" s="608">
        <v>8811.4</v>
      </c>
      <c r="E62" s="609">
        <v>8811</v>
      </c>
      <c r="F62" s="610">
        <v>9038.7</v>
      </c>
      <c r="G62" s="600">
        <v>9163</v>
      </c>
      <c r="H62" s="600">
        <v>9256</v>
      </c>
      <c r="I62" s="600">
        <v>9412</v>
      </c>
      <c r="J62" s="590">
        <v>9500</v>
      </c>
      <c r="K62" s="581">
        <f t="shared" si="34"/>
        <v>9273.939999999999</v>
      </c>
      <c r="L62" s="590">
        <v>9700</v>
      </c>
      <c r="M62" s="590">
        <v>10000</v>
      </c>
      <c r="N62" s="590">
        <v>10500</v>
      </c>
      <c r="O62" s="590">
        <v>11000</v>
      </c>
      <c r="P62" s="590">
        <v>11500</v>
      </c>
      <c r="Q62" s="582">
        <f t="shared" si="35"/>
        <v>10540</v>
      </c>
      <c r="R62" s="401">
        <f t="shared" si="29"/>
        <v>2108</v>
      </c>
      <c r="S62" s="428">
        <f t="shared" si="30"/>
        <v>10540</v>
      </c>
    </row>
    <row r="63" spans="1:19" ht="16.5">
      <c r="A63" s="487"/>
      <c r="B63" s="558" t="s">
        <v>25</v>
      </c>
      <c r="C63" s="487" t="s">
        <v>435</v>
      </c>
      <c r="D63" s="452">
        <v>3616</v>
      </c>
      <c r="E63" s="603">
        <v>3616</v>
      </c>
      <c r="F63" s="600">
        <v>4613</v>
      </c>
      <c r="G63" s="610">
        <v>5823.7</v>
      </c>
      <c r="H63" s="610">
        <v>6115.2</v>
      </c>
      <c r="I63" s="600">
        <v>6345</v>
      </c>
      <c r="J63" s="591">
        <v>6165</v>
      </c>
      <c r="K63" s="581">
        <f t="shared" si="34"/>
        <v>5812.38</v>
      </c>
      <c r="L63" s="590">
        <v>6627</v>
      </c>
      <c r="M63" s="590">
        <v>6998</v>
      </c>
      <c r="N63" s="590">
        <v>7264</v>
      </c>
      <c r="O63" s="590">
        <v>7501</v>
      </c>
      <c r="P63" s="590">
        <v>7744</v>
      </c>
      <c r="Q63" s="582">
        <f t="shared" si="35"/>
        <v>7226.8</v>
      </c>
      <c r="R63" s="401">
        <f t="shared" si="29"/>
        <v>1445.3600000000001</v>
      </c>
      <c r="S63" s="428">
        <f t="shared" si="30"/>
        <v>7226.8</v>
      </c>
    </row>
    <row r="64" spans="1:19" ht="33">
      <c r="A64" s="487">
        <v>2.5</v>
      </c>
      <c r="B64" s="549" t="s">
        <v>26</v>
      </c>
      <c r="C64" s="487" t="s">
        <v>406</v>
      </c>
      <c r="D64" s="608">
        <v>43.5</v>
      </c>
      <c r="E64" s="608">
        <v>43.5</v>
      </c>
      <c r="F64" s="496">
        <v>61</v>
      </c>
      <c r="G64" s="584">
        <v>61.1</v>
      </c>
      <c r="H64" s="584">
        <v>60.2</v>
      </c>
      <c r="I64" s="584">
        <v>66.6</v>
      </c>
      <c r="J64" s="496">
        <v>65</v>
      </c>
      <c r="K64" s="573">
        <f t="shared" si="34"/>
        <v>62.779999999999994</v>
      </c>
      <c r="L64" s="496">
        <v>65</v>
      </c>
      <c r="M64" s="496">
        <v>66</v>
      </c>
      <c r="N64" s="584">
        <v>67</v>
      </c>
      <c r="O64" s="584">
        <v>69</v>
      </c>
      <c r="P64" s="584">
        <v>70</v>
      </c>
      <c r="Q64" s="611">
        <f t="shared" si="35"/>
        <v>67.4</v>
      </c>
      <c r="S64" s="428">
        <f t="shared" si="30"/>
        <v>67.4</v>
      </c>
    </row>
    <row r="65" spans="1:19" ht="33">
      <c r="A65" s="487"/>
      <c r="B65" s="549" t="s">
        <v>27</v>
      </c>
      <c r="C65" s="487" t="s">
        <v>406</v>
      </c>
      <c r="D65" s="482">
        <v>43.8</v>
      </c>
      <c r="E65" s="482">
        <v>43.8</v>
      </c>
      <c r="F65" s="584">
        <v>61.3</v>
      </c>
      <c r="G65" s="584">
        <v>60.9</v>
      </c>
      <c r="H65" s="584">
        <v>60.4</v>
      </c>
      <c r="I65" s="584">
        <v>68.9</v>
      </c>
      <c r="J65" s="584">
        <v>67.5</v>
      </c>
      <c r="K65" s="573">
        <f t="shared" si="34"/>
        <v>63.8</v>
      </c>
      <c r="L65" s="584">
        <v>67.5</v>
      </c>
      <c r="M65" s="584">
        <v>67.5</v>
      </c>
      <c r="N65" s="584">
        <v>67.5</v>
      </c>
      <c r="O65" s="584">
        <v>67.5</v>
      </c>
      <c r="P65" s="584">
        <v>67.5</v>
      </c>
      <c r="Q65" s="611">
        <f t="shared" si="35"/>
        <v>67.5</v>
      </c>
      <c r="S65" s="428">
        <f t="shared" si="30"/>
        <v>67.5</v>
      </c>
    </row>
    <row r="66" spans="1:19" ht="33">
      <c r="A66" s="487"/>
      <c r="B66" s="549" t="s">
        <v>28</v>
      </c>
      <c r="C66" s="487" t="s">
        <v>406</v>
      </c>
      <c r="D66" s="493">
        <v>13.08</v>
      </c>
      <c r="E66" s="487"/>
      <c r="F66" s="612">
        <v>13.8</v>
      </c>
      <c r="G66" s="612">
        <v>13.7</v>
      </c>
      <c r="H66" s="612">
        <v>13.09</v>
      </c>
      <c r="I66" s="612">
        <v>14.55</v>
      </c>
      <c r="J66" s="612">
        <v>13.82</v>
      </c>
      <c r="K66" s="573">
        <f t="shared" si="34"/>
        <v>13.791999999999998</v>
      </c>
      <c r="L66" s="584">
        <v>14.3</v>
      </c>
      <c r="M66" s="584">
        <v>14.4</v>
      </c>
      <c r="N66" s="584">
        <v>14.5</v>
      </c>
      <c r="O66" s="584">
        <v>14.7</v>
      </c>
      <c r="P66" s="584">
        <v>14.8</v>
      </c>
      <c r="Q66" s="611">
        <f t="shared" si="35"/>
        <v>14.540000000000001</v>
      </c>
      <c r="S66" s="428">
        <f t="shared" si="30"/>
        <v>14.540000000000001</v>
      </c>
    </row>
    <row r="67" spans="1:19" ht="33">
      <c r="A67" s="487"/>
      <c r="B67" s="549" t="s">
        <v>29</v>
      </c>
      <c r="C67" s="487" t="s">
        <v>406</v>
      </c>
      <c r="D67" s="493">
        <v>23.64</v>
      </c>
      <c r="E67" s="487"/>
      <c r="F67" s="612">
        <v>23.68</v>
      </c>
      <c r="G67" s="612">
        <v>22.87</v>
      </c>
      <c r="H67" s="612">
        <v>22.77</v>
      </c>
      <c r="I67" s="612">
        <v>22.67</v>
      </c>
      <c r="J67" s="612">
        <v>22.92</v>
      </c>
      <c r="K67" s="573">
        <f t="shared" si="34"/>
        <v>22.982</v>
      </c>
      <c r="L67" s="613">
        <v>22.92</v>
      </c>
      <c r="M67" s="613">
        <v>23.41</v>
      </c>
      <c r="N67" s="613">
        <v>24.16</v>
      </c>
      <c r="O67" s="613">
        <v>24.78</v>
      </c>
      <c r="P67" s="613">
        <v>25.4</v>
      </c>
      <c r="Q67" s="611">
        <f t="shared" si="35"/>
        <v>24.133999999999997</v>
      </c>
      <c r="S67" s="428">
        <f t="shared" si="30"/>
        <v>24.133999999999997</v>
      </c>
    </row>
    <row r="68" spans="1:22" ht="36.75" customHeight="1">
      <c r="A68" s="487"/>
      <c r="B68" s="549" t="s">
        <v>30</v>
      </c>
      <c r="C68" s="487" t="s">
        <v>406</v>
      </c>
      <c r="D68" s="493">
        <v>49.32</v>
      </c>
      <c r="E68" s="487"/>
      <c r="F68" s="612">
        <v>46.4</v>
      </c>
      <c r="G68" s="612">
        <v>46.89</v>
      </c>
      <c r="H68" s="612">
        <v>46.06</v>
      </c>
      <c r="I68" s="612">
        <v>43.59</v>
      </c>
      <c r="J68" s="612">
        <v>43.18</v>
      </c>
      <c r="K68" s="573">
        <f t="shared" si="34"/>
        <v>45.224000000000004</v>
      </c>
      <c r="L68" s="614">
        <v>43.59</v>
      </c>
      <c r="M68" s="614">
        <v>44.41</v>
      </c>
      <c r="N68" s="614">
        <v>45.24</v>
      </c>
      <c r="O68" s="614">
        <v>46.06</v>
      </c>
      <c r="P68" s="496">
        <v>46.47</v>
      </c>
      <c r="Q68" s="611">
        <f t="shared" si="35"/>
        <v>45.154</v>
      </c>
      <c r="S68" s="428">
        <f t="shared" si="30"/>
        <v>45.154</v>
      </c>
      <c r="U68" s="364">
        <v>9500</v>
      </c>
      <c r="V68" s="364">
        <v>12000</v>
      </c>
    </row>
    <row r="69" spans="1:21" s="363" customFormat="1" ht="16.5">
      <c r="A69" s="538">
        <v>3</v>
      </c>
      <c r="B69" s="583" t="s">
        <v>407</v>
      </c>
      <c r="C69" s="538"/>
      <c r="D69" s="538"/>
      <c r="E69" s="538"/>
      <c r="F69" s="593"/>
      <c r="G69" s="593"/>
      <c r="H69" s="593"/>
      <c r="I69" s="593"/>
      <c r="J69" s="586"/>
      <c r="K69" s="581"/>
      <c r="L69" s="586"/>
      <c r="M69" s="586"/>
      <c r="N69" s="586"/>
      <c r="O69" s="586"/>
      <c r="P69" s="586"/>
      <c r="Q69" s="582"/>
      <c r="S69" s="428">
        <f t="shared" si="30"/>
        <v>0</v>
      </c>
      <c r="U69" s="363">
        <v>1906</v>
      </c>
    </row>
    <row r="70" spans="1:29" ht="18" customHeight="1">
      <c r="A70" s="487" t="s">
        <v>110</v>
      </c>
      <c r="B70" s="549" t="s">
        <v>414</v>
      </c>
      <c r="C70" s="487" t="s">
        <v>31</v>
      </c>
      <c r="D70" s="579">
        <v>27401</v>
      </c>
      <c r="E70" s="579">
        <v>27401</v>
      </c>
      <c r="F70" s="615">
        <v>25637</v>
      </c>
      <c r="G70" s="615">
        <v>23526</v>
      </c>
      <c r="H70" s="615">
        <v>21521</v>
      </c>
      <c r="I70" s="615">
        <v>21594</v>
      </c>
      <c r="J70" s="616">
        <v>21850</v>
      </c>
      <c r="K70" s="581">
        <f t="shared" si="34"/>
        <v>22825.6</v>
      </c>
      <c r="L70" s="580">
        <v>22150</v>
      </c>
      <c r="M70" s="580">
        <v>22470</v>
      </c>
      <c r="N70" s="580">
        <v>22810</v>
      </c>
      <c r="O70" s="580">
        <v>23160</v>
      </c>
      <c r="P70" s="580">
        <v>23460</v>
      </c>
      <c r="Q70" s="582">
        <f t="shared" si="35"/>
        <v>22810</v>
      </c>
      <c r="R70" s="364">
        <f>SUM(L70:P70)/5</f>
        <v>22810</v>
      </c>
      <c r="S70" s="428">
        <f t="shared" si="30"/>
        <v>22810</v>
      </c>
      <c r="U70" s="364">
        <f>U68+U69</f>
        <v>11406</v>
      </c>
      <c r="V70" s="364">
        <f>V68-U70</f>
        <v>594</v>
      </c>
      <c r="X70" s="364">
        <f>L70/J70*100</f>
        <v>101.37299771167048</v>
      </c>
      <c r="Y70" s="364">
        <f aca="true" t="shared" si="36" ref="Y70:AB74">M70/L70*100</f>
        <v>101.44469525959367</v>
      </c>
      <c r="Z70" s="364">
        <f t="shared" si="36"/>
        <v>101.51312861593236</v>
      </c>
      <c r="AA70" s="364">
        <f t="shared" si="36"/>
        <v>101.5344147303814</v>
      </c>
      <c r="AB70" s="364">
        <f t="shared" si="36"/>
        <v>101.29533678756476</v>
      </c>
      <c r="AC70" s="467">
        <f>SUM(X70:AB70)/5</f>
        <v>101.43211462102855</v>
      </c>
    </row>
    <row r="71" spans="1:29" ht="18" customHeight="1">
      <c r="A71" s="487">
        <v>3.2</v>
      </c>
      <c r="B71" s="549" t="s">
        <v>416</v>
      </c>
      <c r="C71" s="487" t="s">
        <v>31</v>
      </c>
      <c r="D71" s="579">
        <v>23856</v>
      </c>
      <c r="E71" s="579">
        <v>23856</v>
      </c>
      <c r="F71" s="615">
        <v>22585</v>
      </c>
      <c r="G71" s="615">
        <v>21356</v>
      </c>
      <c r="H71" s="615">
        <v>21103</v>
      </c>
      <c r="I71" s="615">
        <v>21236</v>
      </c>
      <c r="J71" s="616">
        <v>23290</v>
      </c>
      <c r="K71" s="581">
        <f t="shared" si="34"/>
        <v>21914</v>
      </c>
      <c r="L71" s="580">
        <v>24208</v>
      </c>
      <c r="M71" s="580">
        <v>25350</v>
      </c>
      <c r="N71" s="580">
        <v>26520</v>
      </c>
      <c r="O71" s="580">
        <v>27800</v>
      </c>
      <c r="P71" s="580">
        <v>29200</v>
      </c>
      <c r="Q71" s="582">
        <f t="shared" si="35"/>
        <v>26615.6</v>
      </c>
      <c r="R71" s="364">
        <f>SUM(L71:P71)/5</f>
        <v>26615.6</v>
      </c>
      <c r="S71" s="428">
        <f aca="true" t="shared" si="37" ref="S71:S102">SUM(L71:P71)/5</f>
        <v>26615.6</v>
      </c>
      <c r="X71" s="364">
        <f>L71/J71*100</f>
        <v>103.94160583941606</v>
      </c>
      <c r="Y71" s="364">
        <f t="shared" si="36"/>
        <v>104.71744877726373</v>
      </c>
      <c r="Z71" s="364">
        <f t="shared" si="36"/>
        <v>104.61538461538463</v>
      </c>
      <c r="AA71" s="364">
        <f t="shared" si="36"/>
        <v>104.8265460030166</v>
      </c>
      <c r="AB71" s="364">
        <f t="shared" si="36"/>
        <v>105.03597122302158</v>
      </c>
      <c r="AC71" s="467">
        <f>SUM(X71:AB71)/5</f>
        <v>104.62739129162051</v>
      </c>
    </row>
    <row r="72" spans="1:29" ht="18" customHeight="1">
      <c r="A72" s="487">
        <v>3.3</v>
      </c>
      <c r="B72" s="549" t="s">
        <v>417</v>
      </c>
      <c r="C72" s="487" t="s">
        <v>31</v>
      </c>
      <c r="D72" s="579">
        <v>246962</v>
      </c>
      <c r="E72" s="579">
        <v>246962</v>
      </c>
      <c r="F72" s="615">
        <v>232935</v>
      </c>
      <c r="G72" s="615">
        <v>230096</v>
      </c>
      <c r="H72" s="615">
        <v>198983</v>
      </c>
      <c r="I72" s="615">
        <v>199452</v>
      </c>
      <c r="J72" s="616">
        <v>213100</v>
      </c>
      <c r="K72" s="581">
        <f t="shared" si="34"/>
        <v>214913.2</v>
      </c>
      <c r="L72" s="580">
        <v>225927</v>
      </c>
      <c r="M72" s="580">
        <v>240470</v>
      </c>
      <c r="N72" s="580">
        <v>256750</v>
      </c>
      <c r="O72" s="580">
        <v>275000</v>
      </c>
      <c r="P72" s="580">
        <v>296000</v>
      </c>
      <c r="Q72" s="582">
        <f>(L72+M72+N72+O72+P72)/5</f>
        <v>258829.4</v>
      </c>
      <c r="R72" s="364">
        <f>SUM(L72:P72)/5</f>
        <v>258829.4</v>
      </c>
      <c r="S72" s="428">
        <f t="shared" si="37"/>
        <v>258829.4</v>
      </c>
      <c r="X72" s="364">
        <f>L72/J72*100</f>
        <v>106.01923979352416</v>
      </c>
      <c r="Y72" s="364">
        <f t="shared" si="36"/>
        <v>106.43703497147308</v>
      </c>
      <c r="Z72" s="364">
        <f t="shared" si="36"/>
        <v>106.77007526926437</v>
      </c>
      <c r="AA72" s="364">
        <f t="shared" si="36"/>
        <v>107.10808179162609</v>
      </c>
      <c r="AB72" s="364">
        <f t="shared" si="36"/>
        <v>107.63636363636364</v>
      </c>
      <c r="AC72" s="467">
        <f>SUM(X72:AB72)/5</f>
        <v>106.79415909245026</v>
      </c>
    </row>
    <row r="73" spans="1:29" ht="33">
      <c r="A73" s="487" t="s">
        <v>111</v>
      </c>
      <c r="B73" s="549" t="s">
        <v>418</v>
      </c>
      <c r="C73" s="487" t="s">
        <v>415</v>
      </c>
      <c r="D73" s="617">
        <v>205</v>
      </c>
      <c r="E73" s="618">
        <v>205</v>
      </c>
      <c r="F73" s="528">
        <v>2117.06</v>
      </c>
      <c r="G73" s="528">
        <v>2179.566</v>
      </c>
      <c r="H73" s="528">
        <v>2126.803</v>
      </c>
      <c r="I73" s="528">
        <v>2141.165</v>
      </c>
      <c r="J73" s="528">
        <v>2307</v>
      </c>
      <c r="K73" s="619">
        <f t="shared" si="34"/>
        <v>2174.3188</v>
      </c>
      <c r="L73" s="528">
        <v>2479</v>
      </c>
      <c r="M73" s="528">
        <v>2674</v>
      </c>
      <c r="N73" s="580">
        <v>288000</v>
      </c>
      <c r="O73" s="528">
        <v>3110</v>
      </c>
      <c r="P73" s="528">
        <v>3370</v>
      </c>
      <c r="Q73" s="582">
        <f t="shared" si="35"/>
        <v>59926.6</v>
      </c>
      <c r="R73" s="420">
        <f>SUM(L73:P73)/5</f>
        <v>59926.6</v>
      </c>
      <c r="S73" s="428">
        <f t="shared" si="37"/>
        <v>59926.6</v>
      </c>
      <c r="X73" s="364">
        <f>L73/J73*100</f>
        <v>107.45557000433463</v>
      </c>
      <c r="Y73" s="364">
        <f t="shared" si="36"/>
        <v>107.86607503025414</v>
      </c>
      <c r="Z73" s="364">
        <f t="shared" si="36"/>
        <v>10770.381451009724</v>
      </c>
      <c r="AA73" s="364">
        <f t="shared" si="36"/>
        <v>1.0798611111111112</v>
      </c>
      <c r="AB73" s="364">
        <f t="shared" si="36"/>
        <v>108.36012861736334</v>
      </c>
      <c r="AC73" s="467">
        <f>SUM(X73:AB73)/5</f>
        <v>2219.028617154557</v>
      </c>
    </row>
    <row r="74" spans="1:29" ht="16.5">
      <c r="A74" s="487">
        <v>3.5</v>
      </c>
      <c r="B74" s="620" t="s">
        <v>434</v>
      </c>
      <c r="C74" s="543" t="s">
        <v>404</v>
      </c>
      <c r="D74" s="417">
        <v>26998</v>
      </c>
      <c r="E74" s="621">
        <v>35652</v>
      </c>
      <c r="F74" s="580">
        <v>26363</v>
      </c>
      <c r="G74" s="580">
        <v>26046</v>
      </c>
      <c r="H74" s="469">
        <v>24697</v>
      </c>
      <c r="I74" s="580">
        <v>25863</v>
      </c>
      <c r="J74" s="580">
        <v>32381</v>
      </c>
      <c r="K74" s="581">
        <f t="shared" si="34"/>
        <v>27070</v>
      </c>
      <c r="L74" s="469">
        <v>34346</v>
      </c>
      <c r="M74" s="469">
        <v>36565</v>
      </c>
      <c r="N74" s="469">
        <v>39000</v>
      </c>
      <c r="O74" s="469">
        <v>41750</v>
      </c>
      <c r="P74" s="417">
        <v>44870</v>
      </c>
      <c r="Q74" s="582">
        <f t="shared" si="35"/>
        <v>39306.2</v>
      </c>
      <c r="S74" s="428">
        <f t="shared" si="37"/>
        <v>39306.2</v>
      </c>
      <c r="X74" s="364">
        <f>L74/J74*100</f>
        <v>106.0683734288626</v>
      </c>
      <c r="Y74" s="364">
        <f t="shared" si="36"/>
        <v>106.46072322832354</v>
      </c>
      <c r="Z74" s="364">
        <f t="shared" si="36"/>
        <v>106.65937371803638</v>
      </c>
      <c r="AA74" s="364">
        <f t="shared" si="36"/>
        <v>107.05128205128204</v>
      </c>
      <c r="AB74" s="364">
        <f t="shared" si="36"/>
        <v>107.47305389221557</v>
      </c>
      <c r="AC74" s="467">
        <f>SUM(X74:AB74)/5</f>
        <v>106.74256126374402</v>
      </c>
    </row>
    <row r="75" spans="1:27" ht="33">
      <c r="A75" s="487">
        <v>3.6</v>
      </c>
      <c r="B75" s="549" t="s">
        <v>32</v>
      </c>
      <c r="C75" s="487" t="s">
        <v>120</v>
      </c>
      <c r="D75" s="487">
        <v>3</v>
      </c>
      <c r="E75" s="487">
        <v>3</v>
      </c>
      <c r="F75" s="622" t="s">
        <v>445</v>
      </c>
      <c r="G75" s="622" t="s">
        <v>446</v>
      </c>
      <c r="H75" s="584">
        <v>4</v>
      </c>
      <c r="I75" s="584">
        <v>6</v>
      </c>
      <c r="J75" s="584">
        <v>8</v>
      </c>
      <c r="K75" s="581">
        <f>J75</f>
        <v>8</v>
      </c>
      <c r="L75" s="622" t="s">
        <v>447</v>
      </c>
      <c r="M75" s="584">
        <v>17</v>
      </c>
      <c r="N75" s="622" t="s">
        <v>448</v>
      </c>
      <c r="O75" s="584">
        <v>27</v>
      </c>
      <c r="P75" s="584">
        <v>30</v>
      </c>
      <c r="Q75" s="582">
        <f>P75</f>
        <v>30</v>
      </c>
      <c r="S75" s="428">
        <f t="shared" si="37"/>
        <v>14.8</v>
      </c>
      <c r="AA75" s="468">
        <f>P74/J74*100</f>
        <v>138.5689138692443</v>
      </c>
    </row>
    <row r="76" spans="1:19" ht="33">
      <c r="A76" s="487">
        <v>3.7</v>
      </c>
      <c r="B76" s="549" t="s">
        <v>33</v>
      </c>
      <c r="C76" s="487" t="s">
        <v>120</v>
      </c>
      <c r="D76" s="487">
        <v>8</v>
      </c>
      <c r="E76" s="487">
        <v>8</v>
      </c>
      <c r="F76" s="584">
        <v>9</v>
      </c>
      <c r="G76" s="584">
        <v>10</v>
      </c>
      <c r="H76" s="584">
        <v>12</v>
      </c>
      <c r="I76" s="584">
        <v>14</v>
      </c>
      <c r="J76" s="584">
        <v>16</v>
      </c>
      <c r="K76" s="581">
        <f>J76</f>
        <v>16</v>
      </c>
      <c r="L76" s="584">
        <v>19</v>
      </c>
      <c r="M76" s="584">
        <v>24</v>
      </c>
      <c r="N76" s="584">
        <v>28</v>
      </c>
      <c r="O76" s="584">
        <v>35</v>
      </c>
      <c r="P76" s="584">
        <v>40</v>
      </c>
      <c r="Q76" s="582">
        <f>P76</f>
        <v>40</v>
      </c>
      <c r="S76" s="428">
        <f t="shared" si="37"/>
        <v>29.2</v>
      </c>
    </row>
    <row r="77" spans="1:19" ht="16.5">
      <c r="A77" s="487">
        <v>3.8</v>
      </c>
      <c r="B77" s="549" t="s">
        <v>34</v>
      </c>
      <c r="C77" s="487" t="s">
        <v>120</v>
      </c>
      <c r="D77" s="487">
        <v>92</v>
      </c>
      <c r="E77" s="487"/>
      <c r="F77" s="584">
        <v>86</v>
      </c>
      <c r="G77" s="584">
        <v>87</v>
      </c>
      <c r="H77" s="584">
        <v>83</v>
      </c>
      <c r="I77" s="584">
        <v>85</v>
      </c>
      <c r="J77" s="584">
        <v>86</v>
      </c>
      <c r="K77" s="581">
        <f>J77</f>
        <v>86</v>
      </c>
      <c r="L77" s="584">
        <v>90</v>
      </c>
      <c r="M77" s="584">
        <v>90</v>
      </c>
      <c r="N77" s="584">
        <v>90</v>
      </c>
      <c r="O77" s="584">
        <v>90</v>
      </c>
      <c r="P77" s="584">
        <v>90</v>
      </c>
      <c r="Q77" s="582">
        <f t="shared" si="35"/>
        <v>90</v>
      </c>
      <c r="S77" s="428">
        <f t="shared" si="37"/>
        <v>90</v>
      </c>
    </row>
    <row r="78" spans="1:19" ht="16.5">
      <c r="A78" s="487">
        <v>3.9</v>
      </c>
      <c r="B78" s="549" t="s">
        <v>35</v>
      </c>
      <c r="C78" s="487" t="s">
        <v>120</v>
      </c>
      <c r="D78" s="487">
        <v>90</v>
      </c>
      <c r="E78" s="487"/>
      <c r="F78" s="584">
        <v>0</v>
      </c>
      <c r="G78" s="584">
        <v>80</v>
      </c>
      <c r="H78" s="584">
        <v>75</v>
      </c>
      <c r="I78" s="584">
        <v>80</v>
      </c>
      <c r="J78" s="584">
        <v>80</v>
      </c>
      <c r="K78" s="581">
        <f>J78</f>
        <v>80</v>
      </c>
      <c r="L78" s="584">
        <v>80</v>
      </c>
      <c r="M78" s="584">
        <v>80</v>
      </c>
      <c r="N78" s="584">
        <v>80</v>
      </c>
      <c r="O78" s="584">
        <v>80</v>
      </c>
      <c r="P78" s="584">
        <v>80</v>
      </c>
      <c r="Q78" s="582">
        <f t="shared" si="35"/>
        <v>80</v>
      </c>
      <c r="S78" s="428">
        <f t="shared" si="37"/>
        <v>80</v>
      </c>
    </row>
    <row r="79" spans="1:19" s="363" customFormat="1" ht="16.5">
      <c r="A79" s="538">
        <v>4</v>
      </c>
      <c r="B79" s="583" t="s">
        <v>433</v>
      </c>
      <c r="C79" s="538"/>
      <c r="D79" s="538"/>
      <c r="E79" s="538"/>
      <c r="F79" s="470"/>
      <c r="G79" s="470"/>
      <c r="H79" s="470"/>
      <c r="I79" s="470">
        <f>I80/D80*100</f>
        <v>117.79322328410078</v>
      </c>
      <c r="J79" s="623"/>
      <c r="K79" s="581"/>
      <c r="L79" s="586"/>
      <c r="M79" s="586"/>
      <c r="N79" s="586"/>
      <c r="O79" s="586"/>
      <c r="P79" s="586"/>
      <c r="Q79" s="582">
        <f t="shared" si="35"/>
        <v>0</v>
      </c>
      <c r="S79" s="428">
        <f t="shared" si="37"/>
        <v>0</v>
      </c>
    </row>
    <row r="80" spans="1:19" ht="16.5">
      <c r="A80" s="487">
        <v>4.1</v>
      </c>
      <c r="B80" s="549" t="s">
        <v>36</v>
      </c>
      <c r="C80" s="487" t="s">
        <v>412</v>
      </c>
      <c r="D80" s="618">
        <f aca="true" t="shared" si="38" ref="D80:J80">D81+D83</f>
        <v>5755</v>
      </c>
      <c r="E80" s="618">
        <f t="shared" si="38"/>
        <v>5449.2</v>
      </c>
      <c r="F80" s="618">
        <f t="shared" si="38"/>
        <v>5785</v>
      </c>
      <c r="G80" s="618">
        <f t="shared" si="38"/>
        <v>6195</v>
      </c>
      <c r="H80" s="618">
        <f t="shared" si="38"/>
        <v>6389</v>
      </c>
      <c r="I80" s="618">
        <f t="shared" si="38"/>
        <v>6779</v>
      </c>
      <c r="J80" s="618">
        <f t="shared" si="38"/>
        <v>6917</v>
      </c>
      <c r="K80" s="619">
        <f>(J80+I80+H80+G80+F80)/5</f>
        <v>6413</v>
      </c>
      <c r="L80" s="618">
        <f>L81+L83</f>
        <v>6855</v>
      </c>
      <c r="M80" s="618">
        <f>M81+M83</f>
        <v>6857</v>
      </c>
      <c r="N80" s="618">
        <f>N81+N83</f>
        <v>6841</v>
      </c>
      <c r="O80" s="618">
        <f>O81+O83</f>
        <v>6934</v>
      </c>
      <c r="P80" s="618">
        <f>P81+P83</f>
        <v>7011.2</v>
      </c>
      <c r="Q80" s="582">
        <f t="shared" si="35"/>
        <v>6899.639999999999</v>
      </c>
      <c r="S80" s="428">
        <f t="shared" si="37"/>
        <v>6899.639999999999</v>
      </c>
    </row>
    <row r="81" spans="1:19" ht="23.25" customHeight="1">
      <c r="A81" s="487"/>
      <c r="B81" s="549" t="s">
        <v>37</v>
      </c>
      <c r="C81" s="487" t="s">
        <v>412</v>
      </c>
      <c r="D81" s="452">
        <v>3845</v>
      </c>
      <c r="E81" s="624">
        <v>3613.7</v>
      </c>
      <c r="F81" s="476">
        <v>3875</v>
      </c>
      <c r="G81" s="476">
        <v>4192</v>
      </c>
      <c r="H81" s="472">
        <v>4322</v>
      </c>
      <c r="I81" s="472">
        <v>4589</v>
      </c>
      <c r="J81" s="472">
        <v>4800</v>
      </c>
      <c r="K81" s="619">
        <f aca="true" t="shared" si="39" ref="K81:K90">(J81+I81+H81+G81+F81)/5</f>
        <v>4355.6</v>
      </c>
      <c r="L81" s="472">
        <v>4584</v>
      </c>
      <c r="M81" s="472">
        <v>4564</v>
      </c>
      <c r="N81" s="472">
        <v>4518</v>
      </c>
      <c r="O81" s="472">
        <v>4578</v>
      </c>
      <c r="P81" s="528">
        <v>4636</v>
      </c>
      <c r="Q81" s="582">
        <f t="shared" si="35"/>
        <v>4576</v>
      </c>
      <c r="S81" s="428">
        <f t="shared" si="37"/>
        <v>4576</v>
      </c>
    </row>
    <row r="82" spans="1:19" s="375" customFormat="1" ht="33" customHeight="1">
      <c r="A82" s="483"/>
      <c r="B82" s="625" t="s">
        <v>444</v>
      </c>
      <c r="C82" s="483" t="s">
        <v>412</v>
      </c>
      <c r="D82" s="473">
        <v>1611.2</v>
      </c>
      <c r="E82" s="626">
        <v>1611.2</v>
      </c>
      <c r="F82" s="474">
        <v>940.3</v>
      </c>
      <c r="G82" s="474">
        <v>876.4</v>
      </c>
      <c r="H82" s="474">
        <v>694.6</v>
      </c>
      <c r="I82" s="473">
        <v>689.4</v>
      </c>
      <c r="J82" s="473">
        <v>700</v>
      </c>
      <c r="K82" s="619">
        <f t="shared" si="39"/>
        <v>780.14</v>
      </c>
      <c r="L82" s="473">
        <v>750</v>
      </c>
      <c r="M82" s="473">
        <v>810</v>
      </c>
      <c r="N82" s="473">
        <v>900</v>
      </c>
      <c r="O82" s="473">
        <v>930</v>
      </c>
      <c r="P82" s="475">
        <v>1000</v>
      </c>
      <c r="Q82" s="582">
        <f t="shared" si="35"/>
        <v>878</v>
      </c>
      <c r="S82" s="428">
        <f t="shared" si="37"/>
        <v>878</v>
      </c>
    </row>
    <row r="83" spans="1:19" ht="33" customHeight="1">
      <c r="A83" s="487"/>
      <c r="B83" s="549" t="s">
        <v>38</v>
      </c>
      <c r="C83" s="487" t="s">
        <v>412</v>
      </c>
      <c r="D83" s="452">
        <v>1910</v>
      </c>
      <c r="E83" s="624">
        <v>1835.5</v>
      </c>
      <c r="F83" s="476">
        <v>1910</v>
      </c>
      <c r="G83" s="476">
        <v>2003</v>
      </c>
      <c r="H83" s="476">
        <v>2067</v>
      </c>
      <c r="I83" s="472">
        <v>2190</v>
      </c>
      <c r="J83" s="472">
        <v>2117</v>
      </c>
      <c r="K83" s="619">
        <f t="shared" si="39"/>
        <v>2057.4</v>
      </c>
      <c r="L83" s="472">
        <v>2271</v>
      </c>
      <c r="M83" s="472">
        <v>2293</v>
      </c>
      <c r="N83" s="472">
        <v>2323</v>
      </c>
      <c r="O83" s="472">
        <v>2356</v>
      </c>
      <c r="P83" s="528">
        <v>2375.2</v>
      </c>
      <c r="Q83" s="582">
        <f t="shared" si="35"/>
        <v>2323.6400000000003</v>
      </c>
      <c r="S83" s="428">
        <f t="shared" si="37"/>
        <v>2323.6400000000003</v>
      </c>
    </row>
    <row r="84" spans="1:19" ht="16.5">
      <c r="A84" s="487"/>
      <c r="B84" s="549" t="s">
        <v>39</v>
      </c>
      <c r="C84" s="487" t="s">
        <v>412</v>
      </c>
      <c r="D84" s="452">
        <v>3958</v>
      </c>
      <c r="E84" s="624">
        <v>3958</v>
      </c>
      <c r="F84" s="476">
        <v>3830</v>
      </c>
      <c r="G84" s="476">
        <v>4398</v>
      </c>
      <c r="H84" s="476">
        <v>4227</v>
      </c>
      <c r="I84" s="476">
        <v>4229</v>
      </c>
      <c r="J84" s="472">
        <v>4371</v>
      </c>
      <c r="K84" s="619">
        <f t="shared" si="39"/>
        <v>4211</v>
      </c>
      <c r="L84" s="472">
        <v>4738.998397095895</v>
      </c>
      <c r="M84" s="472">
        <v>5016.617630750347</v>
      </c>
      <c r="N84" s="472">
        <v>5310.500309216707</v>
      </c>
      <c r="O84" s="472">
        <v>5621.599174974911</v>
      </c>
      <c r="P84" s="528">
        <v>5950.922783909961</v>
      </c>
      <c r="Q84" s="582">
        <f t="shared" si="35"/>
        <v>5327.727659189564</v>
      </c>
      <c r="S84" s="428">
        <f t="shared" si="37"/>
        <v>5327.727659189564</v>
      </c>
    </row>
    <row r="85" spans="1:19" ht="16.5">
      <c r="A85" s="487">
        <v>4.2</v>
      </c>
      <c r="B85" s="549" t="s">
        <v>40</v>
      </c>
      <c r="C85" s="487" t="s">
        <v>435</v>
      </c>
      <c r="D85" s="476">
        <f>D86+D89</f>
        <v>40642</v>
      </c>
      <c r="E85" s="476">
        <f aca="true" t="shared" si="40" ref="E85:P85">E86+E89</f>
        <v>42304.1</v>
      </c>
      <c r="F85" s="476">
        <f t="shared" si="40"/>
        <v>43183</v>
      </c>
      <c r="G85" s="476">
        <f t="shared" si="40"/>
        <v>45724</v>
      </c>
      <c r="H85" s="476">
        <f t="shared" si="40"/>
        <v>47593</v>
      </c>
      <c r="I85" s="476">
        <f t="shared" si="40"/>
        <v>50797</v>
      </c>
      <c r="J85" s="476">
        <f t="shared" si="40"/>
        <v>53742</v>
      </c>
      <c r="K85" s="619">
        <f t="shared" si="39"/>
        <v>48207.8</v>
      </c>
      <c r="L85" s="476">
        <f t="shared" si="40"/>
        <v>57260.794531339685</v>
      </c>
      <c r="M85" s="476">
        <f t="shared" si="40"/>
        <v>65810.6496694411</v>
      </c>
      <c r="N85" s="476">
        <f t="shared" si="40"/>
        <v>72929.2933336295</v>
      </c>
      <c r="O85" s="476">
        <f t="shared" si="40"/>
        <v>79619.7911004998</v>
      </c>
      <c r="P85" s="476">
        <f t="shared" si="40"/>
        <v>85585.3451853515</v>
      </c>
      <c r="Q85" s="582">
        <f t="shared" si="35"/>
        <v>72241.17476405232</v>
      </c>
      <c r="S85" s="428">
        <f t="shared" si="37"/>
        <v>72241.17476405232</v>
      </c>
    </row>
    <row r="86" spans="1:29" ht="16.5">
      <c r="A86" s="487"/>
      <c r="B86" s="549" t="s">
        <v>41</v>
      </c>
      <c r="C86" s="487" t="s">
        <v>435</v>
      </c>
      <c r="D86" s="476">
        <f aca="true" t="shared" si="41" ref="D86:J86">D87+D88</f>
        <v>30750</v>
      </c>
      <c r="E86" s="476">
        <f t="shared" si="41"/>
        <v>30750</v>
      </c>
      <c r="F86" s="476">
        <f t="shared" si="41"/>
        <v>32443</v>
      </c>
      <c r="G86" s="476">
        <f t="shared" si="41"/>
        <v>33659</v>
      </c>
      <c r="H86" s="476">
        <f t="shared" si="41"/>
        <v>34384</v>
      </c>
      <c r="I86" s="476">
        <f>I87+I88</f>
        <v>35882</v>
      </c>
      <c r="J86" s="476">
        <f t="shared" si="41"/>
        <v>37260</v>
      </c>
      <c r="K86" s="619">
        <f t="shared" si="39"/>
        <v>34725.6</v>
      </c>
      <c r="L86" s="476">
        <f>L87+L88</f>
        <v>38760.794531339685</v>
      </c>
      <c r="M86" s="476">
        <f>M87+M88</f>
        <v>40310.6496694411</v>
      </c>
      <c r="N86" s="476">
        <f>N87+N88</f>
        <v>41929.29333362949</v>
      </c>
      <c r="O86" s="476">
        <f>O87+O88</f>
        <v>43619.79110049981</v>
      </c>
      <c r="P86" s="476">
        <f>P87+P88</f>
        <v>45385.3451853515</v>
      </c>
      <c r="Q86" s="582">
        <f t="shared" si="35"/>
        <v>42001.17476405232</v>
      </c>
      <c r="S86" s="428">
        <f t="shared" si="37"/>
        <v>42001.17476405232</v>
      </c>
      <c r="X86" s="364">
        <f>L86/J86*100</f>
        <v>104.02789729291382</v>
      </c>
      <c r="Y86" s="364">
        <f aca="true" t="shared" si="42" ref="Y86:AB89">M86/L86*100</f>
        <v>103.99851230306514</v>
      </c>
      <c r="Z86" s="364">
        <f t="shared" si="42"/>
        <v>104.0154244038777</v>
      </c>
      <c r="AA86" s="364">
        <f t="shared" si="42"/>
        <v>104.03178215625792</v>
      </c>
      <c r="AB86" s="364">
        <f t="shared" si="42"/>
        <v>104.04759867094242</v>
      </c>
      <c r="AC86" s="364">
        <f>SUM(X86:AB86)/5</f>
        <v>104.02424296541139</v>
      </c>
    </row>
    <row r="87" spans="1:29" ht="16.5">
      <c r="A87" s="487"/>
      <c r="B87" s="558" t="s">
        <v>42</v>
      </c>
      <c r="C87" s="487" t="s">
        <v>435</v>
      </c>
      <c r="D87" s="474">
        <v>26649</v>
      </c>
      <c r="E87" s="550">
        <v>26649</v>
      </c>
      <c r="F87" s="474">
        <v>28291</v>
      </c>
      <c r="G87" s="474">
        <v>29470</v>
      </c>
      <c r="H87" s="627">
        <v>30374</v>
      </c>
      <c r="I87" s="627">
        <v>31882</v>
      </c>
      <c r="J87" s="480">
        <v>33100</v>
      </c>
      <c r="K87" s="619">
        <f t="shared" si="39"/>
        <v>30623.4</v>
      </c>
      <c r="L87" s="480">
        <v>34619.22794373529</v>
      </c>
      <c r="M87" s="480">
        <v>36162.2830773142</v>
      </c>
      <c r="N87" s="480">
        <v>37774.11557210791</v>
      </c>
      <c r="O87" s="480">
        <v>39457.79098637988</v>
      </c>
      <c r="P87" s="628">
        <v>41216.511517067935</v>
      </c>
      <c r="Q87" s="582">
        <f t="shared" si="35"/>
        <v>37845.985819321046</v>
      </c>
      <c r="S87" s="428">
        <f t="shared" si="37"/>
        <v>37845.985819321046</v>
      </c>
      <c r="X87" s="364">
        <f>L87/J87*100</f>
        <v>104.58981251883775</v>
      </c>
      <c r="Y87" s="364">
        <f t="shared" si="42"/>
        <v>104.4572199475007</v>
      </c>
      <c r="Z87" s="364">
        <f t="shared" si="42"/>
        <v>104.45721994750068</v>
      </c>
      <c r="AA87" s="364">
        <f t="shared" si="42"/>
        <v>104.4572199475007</v>
      </c>
      <c r="AB87" s="364">
        <f t="shared" si="42"/>
        <v>104.4572199475007</v>
      </c>
      <c r="AC87" s="364">
        <f>SUM(X87:AB87)/5</f>
        <v>104.4837384617681</v>
      </c>
    </row>
    <row r="88" spans="1:29" ht="16.5">
      <c r="A88" s="487"/>
      <c r="B88" s="558" t="s">
        <v>43</v>
      </c>
      <c r="C88" s="487" t="s">
        <v>435</v>
      </c>
      <c r="D88" s="629">
        <v>4101</v>
      </c>
      <c r="E88" s="550">
        <v>4101</v>
      </c>
      <c r="F88" s="627">
        <v>4152</v>
      </c>
      <c r="G88" s="627">
        <v>4189</v>
      </c>
      <c r="H88" s="627">
        <v>4010</v>
      </c>
      <c r="I88" s="627">
        <v>4000</v>
      </c>
      <c r="J88" s="480">
        <v>4160</v>
      </c>
      <c r="K88" s="619">
        <f t="shared" si="39"/>
        <v>4102.2</v>
      </c>
      <c r="L88" s="480">
        <v>4141.56658760439</v>
      </c>
      <c r="M88" s="480">
        <v>4148.366592126903</v>
      </c>
      <c r="N88" s="480">
        <v>4155.177761521579</v>
      </c>
      <c r="O88" s="480">
        <v>4162.00011411993</v>
      </c>
      <c r="P88" s="628">
        <v>4168.833668283569</v>
      </c>
      <c r="Q88" s="582">
        <f t="shared" si="35"/>
        <v>4155.188944731273</v>
      </c>
      <c r="S88" s="428">
        <f t="shared" si="37"/>
        <v>4155.188944731273</v>
      </c>
      <c r="X88" s="364">
        <f>L88/J88*100</f>
        <v>99.55688912510554</v>
      </c>
      <c r="Y88" s="364">
        <f t="shared" si="42"/>
        <v>100.16418918732019</v>
      </c>
      <c r="Z88" s="364">
        <f t="shared" si="42"/>
        <v>100.16418918732019</v>
      </c>
      <c r="AA88" s="364">
        <f t="shared" si="42"/>
        <v>100.16418918732018</v>
      </c>
      <c r="AB88" s="364">
        <f t="shared" si="42"/>
        <v>100.16418918732019</v>
      </c>
      <c r="AC88" s="364">
        <f>SUM(X88:AB88)/5</f>
        <v>100.04272917487725</v>
      </c>
    </row>
    <row r="89" spans="1:29" ht="16.5">
      <c r="A89" s="487"/>
      <c r="B89" s="549" t="s">
        <v>44</v>
      </c>
      <c r="C89" s="487" t="s">
        <v>435</v>
      </c>
      <c r="D89" s="624">
        <v>9892</v>
      </c>
      <c r="E89" s="624">
        <v>11554.1</v>
      </c>
      <c r="F89" s="417">
        <v>10740</v>
      </c>
      <c r="G89" s="417">
        <v>12065</v>
      </c>
      <c r="H89" s="417">
        <v>13209</v>
      </c>
      <c r="I89" s="472">
        <v>14915</v>
      </c>
      <c r="J89" s="472">
        <v>16482</v>
      </c>
      <c r="K89" s="619">
        <f t="shared" si="39"/>
        <v>13482.2</v>
      </c>
      <c r="L89" s="472">
        <v>18500</v>
      </c>
      <c r="M89" s="472">
        <v>25500</v>
      </c>
      <c r="N89" s="472">
        <v>31000</v>
      </c>
      <c r="O89" s="472">
        <v>36000</v>
      </c>
      <c r="P89" s="472">
        <v>40200</v>
      </c>
      <c r="Q89" s="582">
        <f t="shared" si="35"/>
        <v>30240</v>
      </c>
      <c r="S89" s="428">
        <f t="shared" si="37"/>
        <v>30240</v>
      </c>
      <c r="T89" s="364">
        <f>(P89/J89)^0.25*100</f>
        <v>124.96950103469489</v>
      </c>
      <c r="X89" s="364">
        <f>L89/J89*100</f>
        <v>112.24365975003035</v>
      </c>
      <c r="Y89" s="364">
        <f t="shared" si="42"/>
        <v>137.83783783783784</v>
      </c>
      <c r="Z89" s="364">
        <f t="shared" si="42"/>
        <v>121.56862745098039</v>
      </c>
      <c r="AA89" s="364">
        <f t="shared" si="42"/>
        <v>116.12903225806453</v>
      </c>
      <c r="AB89" s="364">
        <f t="shared" si="42"/>
        <v>111.66666666666667</v>
      </c>
      <c r="AC89" s="364">
        <f>SUM(X89:AB89)/5</f>
        <v>119.88916479271595</v>
      </c>
    </row>
    <row r="90" spans="1:19" ht="16.5">
      <c r="A90" s="487"/>
      <c r="B90" s="558" t="s">
        <v>45</v>
      </c>
      <c r="C90" s="487" t="s">
        <v>435</v>
      </c>
      <c r="D90" s="511">
        <v>4431</v>
      </c>
      <c r="E90" s="630">
        <v>5211.7</v>
      </c>
      <c r="F90" s="511">
        <v>4616</v>
      </c>
      <c r="G90" s="511">
        <v>5099</v>
      </c>
      <c r="H90" s="511">
        <v>5413</v>
      </c>
      <c r="I90" s="511">
        <v>6882</v>
      </c>
      <c r="J90" s="511">
        <v>7500</v>
      </c>
      <c r="K90" s="619">
        <f t="shared" si="39"/>
        <v>5902</v>
      </c>
      <c r="L90" s="511">
        <v>8700</v>
      </c>
      <c r="M90" s="511">
        <v>11300</v>
      </c>
      <c r="N90" s="511">
        <v>13500</v>
      </c>
      <c r="O90" s="511">
        <v>15800</v>
      </c>
      <c r="P90" s="511">
        <v>18000</v>
      </c>
      <c r="Q90" s="582">
        <f t="shared" si="35"/>
        <v>13460</v>
      </c>
      <c r="S90" s="428">
        <f t="shared" si="37"/>
        <v>13460</v>
      </c>
    </row>
    <row r="91" spans="1:19" ht="33">
      <c r="A91" s="487">
        <v>4.3</v>
      </c>
      <c r="B91" s="549" t="s">
        <v>46</v>
      </c>
      <c r="C91" s="487" t="s">
        <v>419</v>
      </c>
      <c r="D91" s="482">
        <f>D92+D95</f>
        <v>310</v>
      </c>
      <c r="E91" s="482">
        <f aca="true" t="shared" si="43" ref="E91:P91">E92+E95</f>
        <v>310</v>
      </c>
      <c r="F91" s="482">
        <f t="shared" si="43"/>
        <v>220.6</v>
      </c>
      <c r="G91" s="482">
        <f t="shared" si="43"/>
        <v>153.2</v>
      </c>
      <c r="H91" s="482">
        <f t="shared" si="43"/>
        <v>215.6</v>
      </c>
      <c r="I91" s="482">
        <f t="shared" si="43"/>
        <v>176.5</v>
      </c>
      <c r="J91" s="482">
        <f t="shared" si="43"/>
        <v>310</v>
      </c>
      <c r="K91" s="631">
        <f>(J91+I91+H91+G91+F91)/5</f>
        <v>215.17999999999998</v>
      </c>
      <c r="L91" s="482">
        <f t="shared" si="43"/>
        <v>345</v>
      </c>
      <c r="M91" s="482">
        <f t="shared" si="43"/>
        <v>390</v>
      </c>
      <c r="N91" s="482">
        <f t="shared" si="43"/>
        <v>455</v>
      </c>
      <c r="O91" s="482">
        <f t="shared" si="43"/>
        <v>535</v>
      </c>
      <c r="P91" s="482">
        <f t="shared" si="43"/>
        <v>635</v>
      </c>
      <c r="Q91" s="582">
        <f t="shared" si="35"/>
        <v>472</v>
      </c>
      <c r="S91" s="428">
        <f t="shared" si="37"/>
        <v>472</v>
      </c>
    </row>
    <row r="92" spans="1:19" ht="33">
      <c r="A92" s="487"/>
      <c r="B92" s="605" t="s">
        <v>47</v>
      </c>
      <c r="C92" s="487" t="s">
        <v>419</v>
      </c>
      <c r="D92" s="482">
        <f>D93+D94</f>
        <v>275</v>
      </c>
      <c r="E92" s="482">
        <f aca="true" t="shared" si="44" ref="E92:P92">E93+E94</f>
        <v>275</v>
      </c>
      <c r="F92" s="482">
        <f t="shared" si="44"/>
        <v>175</v>
      </c>
      <c r="G92" s="482">
        <f t="shared" si="44"/>
        <v>103.5</v>
      </c>
      <c r="H92" s="482">
        <f t="shared" si="44"/>
        <v>150</v>
      </c>
      <c r="I92" s="482">
        <f t="shared" si="44"/>
        <v>80</v>
      </c>
      <c r="J92" s="482">
        <f t="shared" si="44"/>
        <v>190</v>
      </c>
      <c r="K92" s="581">
        <f aca="true" t="shared" si="45" ref="K92:K101">J92-D92</f>
        <v>-85</v>
      </c>
      <c r="L92" s="482">
        <f t="shared" si="44"/>
        <v>265</v>
      </c>
      <c r="M92" s="482">
        <f t="shared" si="44"/>
        <v>315</v>
      </c>
      <c r="N92" s="482">
        <f t="shared" si="44"/>
        <v>385</v>
      </c>
      <c r="O92" s="482">
        <f t="shared" si="44"/>
        <v>465</v>
      </c>
      <c r="P92" s="482">
        <f t="shared" si="44"/>
        <v>565</v>
      </c>
      <c r="Q92" s="582">
        <f t="shared" si="35"/>
        <v>399</v>
      </c>
      <c r="S92" s="428">
        <f t="shared" si="37"/>
        <v>399</v>
      </c>
    </row>
    <row r="93" spans="1:31" s="375" customFormat="1" ht="33">
      <c r="A93" s="483"/>
      <c r="B93" s="632" t="s">
        <v>48</v>
      </c>
      <c r="C93" s="483" t="s">
        <v>419</v>
      </c>
      <c r="D93" s="484">
        <v>270</v>
      </c>
      <c r="E93" s="484">
        <v>270</v>
      </c>
      <c r="F93" s="485">
        <v>165</v>
      </c>
      <c r="G93" s="484">
        <v>81.5</v>
      </c>
      <c r="H93" s="485">
        <v>125</v>
      </c>
      <c r="I93" s="485">
        <v>35</v>
      </c>
      <c r="J93" s="486">
        <v>15</v>
      </c>
      <c r="K93" s="581">
        <f t="shared" si="45"/>
        <v>-255</v>
      </c>
      <c r="L93" s="486">
        <v>15</v>
      </c>
      <c r="M93" s="486">
        <v>15</v>
      </c>
      <c r="N93" s="486">
        <v>15</v>
      </c>
      <c r="O93" s="486">
        <v>15</v>
      </c>
      <c r="P93" s="486">
        <v>15</v>
      </c>
      <c r="Q93" s="582">
        <f t="shared" si="35"/>
        <v>15</v>
      </c>
      <c r="S93" s="428">
        <f t="shared" si="37"/>
        <v>15</v>
      </c>
      <c r="AE93" s="375">
        <f>40-18</f>
        <v>22</v>
      </c>
    </row>
    <row r="94" spans="1:19" s="375" customFormat="1" ht="33">
      <c r="A94" s="483"/>
      <c r="B94" s="633" t="s">
        <v>457</v>
      </c>
      <c r="C94" s="483" t="s">
        <v>419</v>
      </c>
      <c r="D94" s="484">
        <v>5</v>
      </c>
      <c r="E94" s="484">
        <v>5</v>
      </c>
      <c r="F94" s="485">
        <v>10</v>
      </c>
      <c r="G94" s="484">
        <v>22</v>
      </c>
      <c r="H94" s="485">
        <v>25</v>
      </c>
      <c r="I94" s="485">
        <v>45</v>
      </c>
      <c r="J94" s="486">
        <v>175</v>
      </c>
      <c r="K94" s="581">
        <f t="shared" si="45"/>
        <v>170</v>
      </c>
      <c r="L94" s="486">
        <v>250</v>
      </c>
      <c r="M94" s="486">
        <v>300</v>
      </c>
      <c r="N94" s="486">
        <v>370</v>
      </c>
      <c r="O94" s="486">
        <v>450</v>
      </c>
      <c r="P94" s="486">
        <v>550</v>
      </c>
      <c r="Q94" s="582">
        <f t="shared" si="35"/>
        <v>384</v>
      </c>
      <c r="S94" s="428">
        <f t="shared" si="37"/>
        <v>384</v>
      </c>
    </row>
    <row r="95" spans="1:19" ht="33">
      <c r="A95" s="487"/>
      <c r="B95" s="605" t="s">
        <v>49</v>
      </c>
      <c r="C95" s="487" t="s">
        <v>419</v>
      </c>
      <c r="D95" s="482">
        <v>35</v>
      </c>
      <c r="E95" s="482">
        <v>35</v>
      </c>
      <c r="F95" s="488">
        <v>45.6</v>
      </c>
      <c r="G95" s="489">
        <v>49.7</v>
      </c>
      <c r="H95" s="488">
        <v>65.6</v>
      </c>
      <c r="I95" s="488">
        <v>96.5</v>
      </c>
      <c r="J95" s="490">
        <v>120</v>
      </c>
      <c r="K95" s="581">
        <f t="shared" si="45"/>
        <v>85</v>
      </c>
      <c r="L95" s="634">
        <v>80</v>
      </c>
      <c r="M95" s="634">
        <v>75</v>
      </c>
      <c r="N95" s="634">
        <v>70</v>
      </c>
      <c r="O95" s="634">
        <v>70</v>
      </c>
      <c r="P95" s="634">
        <v>70</v>
      </c>
      <c r="Q95" s="582">
        <f t="shared" si="35"/>
        <v>73</v>
      </c>
      <c r="S95" s="428">
        <f t="shared" si="37"/>
        <v>73</v>
      </c>
    </row>
    <row r="96" spans="1:19" ht="16.5">
      <c r="A96" s="487">
        <v>4.4</v>
      </c>
      <c r="B96" s="549" t="s">
        <v>50</v>
      </c>
      <c r="C96" s="487" t="s">
        <v>435</v>
      </c>
      <c r="D96" s="476">
        <v>1288</v>
      </c>
      <c r="E96" s="487"/>
      <c r="F96" s="476">
        <v>1469</v>
      </c>
      <c r="G96" s="476">
        <v>2118</v>
      </c>
      <c r="H96" s="476">
        <v>2750</v>
      </c>
      <c r="I96" s="476">
        <v>3540</v>
      </c>
      <c r="J96" s="476">
        <v>4200</v>
      </c>
      <c r="K96" s="581">
        <f t="shared" si="45"/>
        <v>2912</v>
      </c>
      <c r="L96" s="469">
        <v>5867</v>
      </c>
      <c r="M96" s="469">
        <v>7553</v>
      </c>
      <c r="N96" s="469">
        <v>9723</v>
      </c>
      <c r="O96" s="469">
        <v>12517</v>
      </c>
      <c r="P96" s="469">
        <v>16114</v>
      </c>
      <c r="Q96" s="582">
        <f t="shared" si="35"/>
        <v>10354.8</v>
      </c>
      <c r="S96" s="428">
        <f t="shared" si="37"/>
        <v>10354.8</v>
      </c>
    </row>
    <row r="97" spans="1:19" ht="33">
      <c r="A97" s="487">
        <v>4.5</v>
      </c>
      <c r="B97" s="549" t="s">
        <v>51</v>
      </c>
      <c r="C97" s="487" t="s">
        <v>436</v>
      </c>
      <c r="D97" s="491">
        <v>7.811</v>
      </c>
      <c r="E97" s="482"/>
      <c r="F97" s="491">
        <v>16.087</v>
      </c>
      <c r="G97" s="491">
        <v>16.752</v>
      </c>
      <c r="H97" s="491">
        <v>14.175</v>
      </c>
      <c r="I97" s="491">
        <v>18.182</v>
      </c>
      <c r="J97" s="491">
        <v>20.968</v>
      </c>
      <c r="K97" s="581">
        <f t="shared" si="45"/>
        <v>13.157</v>
      </c>
      <c r="L97" s="491">
        <v>24.557</v>
      </c>
      <c r="M97" s="491">
        <v>29.176</v>
      </c>
      <c r="N97" s="491">
        <v>35.121</v>
      </c>
      <c r="O97" s="491">
        <v>42.776</v>
      </c>
      <c r="P97" s="491">
        <v>52.63</v>
      </c>
      <c r="Q97" s="582">
        <f t="shared" si="35"/>
        <v>36.852</v>
      </c>
      <c r="S97" s="428">
        <f t="shared" si="37"/>
        <v>36.852</v>
      </c>
    </row>
    <row r="98" spans="1:19" ht="33">
      <c r="A98" s="487">
        <v>4.6</v>
      </c>
      <c r="B98" s="549" t="s">
        <v>52</v>
      </c>
      <c r="C98" s="487" t="s">
        <v>406</v>
      </c>
      <c r="D98" s="492">
        <v>105.6</v>
      </c>
      <c r="E98" s="493"/>
      <c r="F98" s="494">
        <v>102.2</v>
      </c>
      <c r="G98" s="494">
        <v>136.2</v>
      </c>
      <c r="H98" s="494">
        <v>159.9</v>
      </c>
      <c r="I98" s="495">
        <v>207.78861788617886</v>
      </c>
      <c r="J98" s="496">
        <f>I98*1.03</f>
        <v>214.02227642276424</v>
      </c>
      <c r="K98" s="635">
        <f t="shared" si="45"/>
        <v>108.42227642276424</v>
      </c>
      <c r="L98" s="496">
        <f>J98*1.03</f>
        <v>220.44294471544717</v>
      </c>
      <c r="M98" s="496">
        <f>L98*1.03</f>
        <v>227.0562330569106</v>
      </c>
      <c r="N98" s="496">
        <f>M98*1.03</f>
        <v>233.86792004861792</v>
      </c>
      <c r="O98" s="496">
        <f>N98*1.03</f>
        <v>240.88395765007647</v>
      </c>
      <c r="P98" s="496">
        <f>O98*1.03</f>
        <v>248.11047637957876</v>
      </c>
      <c r="Q98" s="611">
        <f t="shared" si="35"/>
        <v>234.07230637012617</v>
      </c>
      <c r="S98" s="428">
        <f t="shared" si="37"/>
        <v>234.07230637012617</v>
      </c>
    </row>
    <row r="99" spans="1:19" ht="16.5">
      <c r="A99" s="487">
        <v>4.7</v>
      </c>
      <c r="B99" s="549" t="s">
        <v>53</v>
      </c>
      <c r="C99" s="487" t="s">
        <v>438</v>
      </c>
      <c r="D99" s="469">
        <v>2039</v>
      </c>
      <c r="E99" s="487"/>
      <c r="F99" s="469">
        <v>2055</v>
      </c>
      <c r="G99" s="469">
        <v>2072</v>
      </c>
      <c r="H99" s="469">
        <v>2054</v>
      </c>
      <c r="I99" s="469">
        <v>2220</v>
      </c>
      <c r="J99" s="469">
        <v>2234</v>
      </c>
      <c r="K99" s="581">
        <f t="shared" si="45"/>
        <v>195</v>
      </c>
      <c r="L99" s="469">
        <v>2252.4996857048372</v>
      </c>
      <c r="M99" s="469">
        <v>2275.596949253212</v>
      </c>
      <c r="N99" s="469">
        <v>2303.91707690977</v>
      </c>
      <c r="O99" s="469">
        <v>2338.028623003738</v>
      </c>
      <c r="P99" s="469">
        <v>2378.568852594225</v>
      </c>
      <c r="Q99" s="582">
        <f t="shared" si="35"/>
        <v>2309.7222374931566</v>
      </c>
      <c r="S99" s="428">
        <f t="shared" si="37"/>
        <v>2309.7222374931566</v>
      </c>
    </row>
    <row r="100" spans="1:24" ht="16.5">
      <c r="A100" s="487"/>
      <c r="B100" s="598" t="s">
        <v>54</v>
      </c>
      <c r="C100" s="487" t="s">
        <v>438</v>
      </c>
      <c r="D100" s="482">
        <v>172</v>
      </c>
      <c r="E100" s="487"/>
      <c r="F100" s="417">
        <v>189</v>
      </c>
      <c r="G100" s="417">
        <v>224</v>
      </c>
      <c r="H100" s="417">
        <v>245</v>
      </c>
      <c r="I100" s="469">
        <v>275</v>
      </c>
      <c r="J100" s="469">
        <v>302</v>
      </c>
      <c r="K100" s="581">
        <f t="shared" si="45"/>
        <v>130</v>
      </c>
      <c r="L100" s="469">
        <v>338</v>
      </c>
      <c r="M100" s="469">
        <v>378</v>
      </c>
      <c r="N100" s="469">
        <v>424</v>
      </c>
      <c r="O100" s="469">
        <v>474</v>
      </c>
      <c r="P100" s="469">
        <v>531</v>
      </c>
      <c r="Q100" s="582">
        <f t="shared" si="35"/>
        <v>429</v>
      </c>
      <c r="S100" s="428">
        <f t="shared" si="37"/>
        <v>429</v>
      </c>
      <c r="X100" s="364">
        <f>I100/D100*100</f>
        <v>159.88372093023256</v>
      </c>
    </row>
    <row r="101" spans="1:19" ht="33">
      <c r="A101" s="487"/>
      <c r="B101" s="549" t="s">
        <v>55</v>
      </c>
      <c r="C101" s="487" t="s">
        <v>56</v>
      </c>
      <c r="D101" s="487"/>
      <c r="E101" s="487"/>
      <c r="F101" s="469">
        <v>69217</v>
      </c>
      <c r="G101" s="469">
        <v>75863</v>
      </c>
      <c r="H101" s="469">
        <v>80767</v>
      </c>
      <c r="I101" s="469">
        <v>92822</v>
      </c>
      <c r="J101" s="469">
        <v>102422</v>
      </c>
      <c r="K101" s="581">
        <f t="shared" si="45"/>
        <v>102422</v>
      </c>
      <c r="L101" s="469">
        <v>112875.89119951916</v>
      </c>
      <c r="M101" s="469">
        <v>124473.33551687407</v>
      </c>
      <c r="N101" s="469">
        <v>137262.36036807747</v>
      </c>
      <c r="O101" s="469">
        <v>151365.39480989336</v>
      </c>
      <c r="P101" s="469">
        <v>166917.4468843195</v>
      </c>
      <c r="Q101" s="582">
        <f t="shared" si="35"/>
        <v>138578.8857557367</v>
      </c>
      <c r="S101" s="428">
        <f t="shared" si="37"/>
        <v>138578.8857557367</v>
      </c>
    </row>
    <row r="102" spans="1:19" s="363" customFormat="1" ht="16.5">
      <c r="A102" s="538">
        <v>5</v>
      </c>
      <c r="B102" s="583" t="s">
        <v>410</v>
      </c>
      <c r="C102" s="538"/>
      <c r="D102" s="538"/>
      <c r="E102" s="538"/>
      <c r="F102" s="586"/>
      <c r="G102" s="586"/>
      <c r="H102" s="586"/>
      <c r="I102" s="596"/>
      <c r="J102" s="586"/>
      <c r="K102" s="581"/>
      <c r="L102" s="586"/>
      <c r="M102" s="586"/>
      <c r="N102" s="586"/>
      <c r="O102" s="586"/>
      <c r="P102" s="586"/>
      <c r="Q102" s="582">
        <f t="shared" si="35"/>
        <v>0</v>
      </c>
      <c r="S102" s="428">
        <f t="shared" si="37"/>
        <v>0</v>
      </c>
    </row>
    <row r="103" spans="1:25" ht="16.5">
      <c r="A103" s="487">
        <v>5.1</v>
      </c>
      <c r="B103" s="549" t="s">
        <v>57</v>
      </c>
      <c r="C103" s="487" t="s">
        <v>412</v>
      </c>
      <c r="D103" s="621">
        <v>294651.05</v>
      </c>
      <c r="E103" s="621">
        <v>294651.05</v>
      </c>
      <c r="F103" s="469">
        <v>294665.98</v>
      </c>
      <c r="G103" s="469">
        <v>294947.1</v>
      </c>
      <c r="H103" s="469">
        <v>296075.84</v>
      </c>
      <c r="I103" s="469">
        <v>296724.39</v>
      </c>
      <c r="J103" s="469">
        <v>297524.39</v>
      </c>
      <c r="K103" s="581">
        <f>J103</f>
        <v>297524.39</v>
      </c>
      <c r="L103" s="469">
        <v>299324</v>
      </c>
      <c r="M103" s="469">
        <v>301224</v>
      </c>
      <c r="N103" s="469">
        <v>303324</v>
      </c>
      <c r="O103" s="469">
        <v>305424</v>
      </c>
      <c r="P103" s="469">
        <v>307640</v>
      </c>
      <c r="Q103" s="636">
        <f>P103</f>
        <v>307640</v>
      </c>
      <c r="S103" s="428">
        <f aca="true" t="shared" si="46" ref="S103:S134">SUM(L103:P103)/5</f>
        <v>303387.2</v>
      </c>
      <c r="W103" s="460">
        <f>P103-I103</f>
        <v>10915.609999999986</v>
      </c>
      <c r="X103" s="460">
        <f>P103-J103</f>
        <v>10115.609999999986</v>
      </c>
      <c r="Y103" s="364">
        <f>X103/5</f>
        <v>2023.1219999999971</v>
      </c>
    </row>
    <row r="104" spans="1:19" ht="16.5">
      <c r="A104" s="487">
        <v>5.2</v>
      </c>
      <c r="B104" s="549" t="s">
        <v>58</v>
      </c>
      <c r="C104" s="487" t="s">
        <v>412</v>
      </c>
      <c r="D104" s="621">
        <v>294651.05</v>
      </c>
      <c r="E104" s="621">
        <v>294651.05</v>
      </c>
      <c r="F104" s="469">
        <v>294665.98</v>
      </c>
      <c r="G104" s="469">
        <v>294947.1</v>
      </c>
      <c r="H104" s="469">
        <v>296075.84</v>
      </c>
      <c r="I104" s="469">
        <v>296724.39</v>
      </c>
      <c r="J104" s="469">
        <v>297524.39</v>
      </c>
      <c r="K104" s="581">
        <f>J104</f>
        <v>297524.39</v>
      </c>
      <c r="L104" s="469">
        <v>299324</v>
      </c>
      <c r="M104" s="469">
        <v>301224</v>
      </c>
      <c r="N104" s="469">
        <v>303324</v>
      </c>
      <c r="O104" s="469">
        <v>305424</v>
      </c>
      <c r="P104" s="469">
        <v>307640</v>
      </c>
      <c r="Q104" s="636">
        <f>P104</f>
        <v>307640</v>
      </c>
      <c r="R104" s="422">
        <f>P104-L104</f>
        <v>8316</v>
      </c>
      <c r="S104" s="428">
        <f t="shared" si="46"/>
        <v>303387.2</v>
      </c>
    </row>
    <row r="105" spans="1:19" ht="33">
      <c r="A105" s="487"/>
      <c r="B105" s="625" t="s">
        <v>479</v>
      </c>
      <c r="C105" s="487" t="s">
        <v>412</v>
      </c>
      <c r="D105" s="417">
        <v>6.83</v>
      </c>
      <c r="E105" s="417">
        <v>6.83</v>
      </c>
      <c r="F105" s="417">
        <v>6.83</v>
      </c>
      <c r="G105" s="417">
        <v>6.83</v>
      </c>
      <c r="H105" s="417">
        <v>18.39</v>
      </c>
      <c r="I105" s="417">
        <v>18.39</v>
      </c>
      <c r="J105" s="417">
        <v>55.39</v>
      </c>
      <c r="K105" s="581">
        <f>J105</f>
        <v>55.39</v>
      </c>
      <c r="L105" s="417">
        <v>127.39</v>
      </c>
      <c r="M105" s="417">
        <f>L105+72</f>
        <v>199.39</v>
      </c>
      <c r="N105" s="417">
        <f>M105+72</f>
        <v>271.39</v>
      </c>
      <c r="O105" s="417">
        <f>N105+72</f>
        <v>343.39</v>
      </c>
      <c r="P105" s="417">
        <f>O105+72</f>
        <v>415.39</v>
      </c>
      <c r="Q105" s="636">
        <f>P105</f>
        <v>415.39</v>
      </c>
      <c r="S105" s="428">
        <f t="shared" si="46"/>
        <v>271.39</v>
      </c>
    </row>
    <row r="106" spans="1:19" ht="16.5">
      <c r="A106" s="487">
        <v>5.3</v>
      </c>
      <c r="B106" s="549" t="s">
        <v>59</v>
      </c>
      <c r="C106" s="487" t="s">
        <v>412</v>
      </c>
      <c r="D106" s="417">
        <f>D108+D109</f>
        <v>4036</v>
      </c>
      <c r="E106" s="417">
        <f aca="true" t="shared" si="47" ref="E106:J106">E108+E109</f>
        <v>4430</v>
      </c>
      <c r="F106" s="417">
        <f t="shared" si="47"/>
        <v>4068</v>
      </c>
      <c r="G106" s="417">
        <f t="shared" si="47"/>
        <v>4225</v>
      </c>
      <c r="H106" s="417">
        <f t="shared" si="47"/>
        <v>4286</v>
      </c>
      <c r="I106" s="417">
        <f t="shared" si="47"/>
        <v>5300</v>
      </c>
      <c r="J106" s="417">
        <f t="shared" si="47"/>
        <v>4200</v>
      </c>
      <c r="K106" s="581">
        <f aca="true" t="shared" si="48" ref="K106:K115">SUM(F106:J106)</f>
        <v>22079</v>
      </c>
      <c r="L106" s="417">
        <v>4000</v>
      </c>
      <c r="M106" s="417">
        <v>4000</v>
      </c>
      <c r="N106" s="417">
        <v>4000</v>
      </c>
      <c r="O106" s="417">
        <v>4000</v>
      </c>
      <c r="P106" s="417">
        <v>4000</v>
      </c>
      <c r="Q106" s="582">
        <f>SUM(L106:P106)</f>
        <v>20000</v>
      </c>
      <c r="S106" s="428">
        <f t="shared" si="46"/>
        <v>4000</v>
      </c>
    </row>
    <row r="107" spans="1:19" ht="16.5">
      <c r="A107" s="487"/>
      <c r="B107" s="625" t="s">
        <v>480</v>
      </c>
      <c r="C107" s="487" t="s">
        <v>412</v>
      </c>
      <c r="D107" s="637"/>
      <c r="E107" s="637"/>
      <c r="F107" s="561"/>
      <c r="G107" s="561"/>
      <c r="H107" s="561"/>
      <c r="I107" s="561"/>
      <c r="J107" s="561"/>
      <c r="K107" s="631"/>
      <c r="L107" s="561"/>
      <c r="M107" s="561"/>
      <c r="N107" s="561"/>
      <c r="O107" s="561"/>
      <c r="P107" s="561"/>
      <c r="Q107" s="582">
        <f>SUM(L107:P107)</f>
        <v>0</v>
      </c>
      <c r="S107" s="428">
        <f t="shared" si="46"/>
        <v>0</v>
      </c>
    </row>
    <row r="108" spans="1:19" ht="16.5">
      <c r="A108" s="487"/>
      <c r="B108" s="549" t="s">
        <v>443</v>
      </c>
      <c r="C108" s="487" t="s">
        <v>412</v>
      </c>
      <c r="D108" s="528">
        <v>865</v>
      </c>
      <c r="E108" s="528"/>
      <c r="F108" s="528">
        <v>232</v>
      </c>
      <c r="G108" s="528">
        <v>256</v>
      </c>
      <c r="H108" s="528">
        <v>210</v>
      </c>
      <c r="I108" s="528">
        <v>950</v>
      </c>
      <c r="J108" s="528">
        <v>1000</v>
      </c>
      <c r="K108" s="619">
        <f t="shared" si="48"/>
        <v>2648</v>
      </c>
      <c r="L108" s="528">
        <v>800</v>
      </c>
      <c r="M108" s="528">
        <v>800</v>
      </c>
      <c r="N108" s="528">
        <v>850</v>
      </c>
      <c r="O108" s="528">
        <v>900</v>
      </c>
      <c r="P108" s="528">
        <v>900</v>
      </c>
      <c r="Q108" s="582">
        <f>SUM(L108:P108)</f>
        <v>4250</v>
      </c>
      <c r="S108" s="428">
        <f t="shared" si="46"/>
        <v>850</v>
      </c>
    </row>
    <row r="109" spans="1:19" ht="16.5">
      <c r="A109" s="487"/>
      <c r="B109" s="549" t="s">
        <v>60</v>
      </c>
      <c r="C109" s="487" t="s">
        <v>412</v>
      </c>
      <c r="D109" s="528">
        <v>3171</v>
      </c>
      <c r="E109" s="528">
        <v>4430</v>
      </c>
      <c r="F109" s="528">
        <v>3836</v>
      </c>
      <c r="G109" s="528">
        <v>3969</v>
      </c>
      <c r="H109" s="528">
        <v>4076</v>
      </c>
      <c r="I109" s="528">
        <v>4350</v>
      </c>
      <c r="J109" s="528">
        <v>3200</v>
      </c>
      <c r="K109" s="619">
        <f t="shared" si="48"/>
        <v>19431</v>
      </c>
      <c r="L109" s="528">
        <v>3200</v>
      </c>
      <c r="M109" s="528">
        <v>3200</v>
      </c>
      <c r="N109" s="528">
        <v>3150</v>
      </c>
      <c r="O109" s="528">
        <v>3100</v>
      </c>
      <c r="P109" s="528">
        <v>3100</v>
      </c>
      <c r="Q109" s="582">
        <f aca="true" t="shared" si="49" ref="Q109:Q115">SUM(L109:P109)</f>
        <v>15750</v>
      </c>
      <c r="S109" s="428">
        <f t="shared" si="46"/>
        <v>3150</v>
      </c>
    </row>
    <row r="110" spans="1:19" ht="33">
      <c r="A110" s="487">
        <v>5.4</v>
      </c>
      <c r="B110" s="549" t="s">
        <v>61</v>
      </c>
      <c r="C110" s="487" t="s">
        <v>62</v>
      </c>
      <c r="D110" s="528">
        <v>1000</v>
      </c>
      <c r="E110" s="528">
        <v>1000</v>
      </c>
      <c r="F110" s="528">
        <v>1000</v>
      </c>
      <c r="G110" s="528">
        <v>1000</v>
      </c>
      <c r="H110" s="528">
        <v>1000</v>
      </c>
      <c r="I110" s="528">
        <v>1000</v>
      </c>
      <c r="J110" s="528">
        <v>1000</v>
      </c>
      <c r="K110" s="581">
        <f t="shared" si="48"/>
        <v>5000</v>
      </c>
      <c r="L110" s="528">
        <v>1000</v>
      </c>
      <c r="M110" s="528">
        <v>1000</v>
      </c>
      <c r="N110" s="528">
        <v>1000</v>
      </c>
      <c r="O110" s="528">
        <v>1000</v>
      </c>
      <c r="P110" s="528">
        <v>1000</v>
      </c>
      <c r="Q110" s="582">
        <f t="shared" si="49"/>
        <v>5000</v>
      </c>
      <c r="S110" s="428">
        <f t="shared" si="46"/>
        <v>1000</v>
      </c>
    </row>
    <row r="111" spans="1:24" ht="16.5">
      <c r="A111" s="487">
        <v>5.5</v>
      </c>
      <c r="B111" s="549" t="s">
        <v>63</v>
      </c>
      <c r="C111" s="487" t="s">
        <v>412</v>
      </c>
      <c r="D111" s="638">
        <v>14196</v>
      </c>
      <c r="E111" s="638">
        <v>14196</v>
      </c>
      <c r="F111" s="638">
        <v>14392</v>
      </c>
      <c r="G111" s="638">
        <v>15000</v>
      </c>
      <c r="H111" s="638">
        <v>15031</v>
      </c>
      <c r="I111" s="638">
        <v>8900</v>
      </c>
      <c r="J111" s="638">
        <v>13100</v>
      </c>
      <c r="K111" s="573">
        <f t="shared" si="48"/>
        <v>66423</v>
      </c>
      <c r="L111" s="638">
        <v>13200</v>
      </c>
      <c r="M111" s="638">
        <v>13180</v>
      </c>
      <c r="N111" s="638">
        <v>12880</v>
      </c>
      <c r="O111" s="638">
        <v>12680</v>
      </c>
      <c r="P111" s="638">
        <v>12680</v>
      </c>
      <c r="Q111" s="582">
        <f t="shared" si="49"/>
        <v>64620</v>
      </c>
      <c r="S111" s="428">
        <f t="shared" si="46"/>
        <v>12924</v>
      </c>
      <c r="X111" s="468">
        <f>Q111/5</f>
        <v>12924</v>
      </c>
    </row>
    <row r="112" spans="1:19" ht="16.5">
      <c r="A112" s="487">
        <v>5.6</v>
      </c>
      <c r="B112" s="549" t="s">
        <v>420</v>
      </c>
      <c r="C112" s="487" t="s">
        <v>412</v>
      </c>
      <c r="D112" s="638">
        <v>5816.4</v>
      </c>
      <c r="E112" s="638">
        <v>5816.4</v>
      </c>
      <c r="F112" s="638">
        <v>5165</v>
      </c>
      <c r="G112" s="638">
        <v>4374.1</v>
      </c>
      <c r="H112" s="638">
        <v>3580</v>
      </c>
      <c r="I112" s="638">
        <v>2710.7</v>
      </c>
      <c r="J112" s="638">
        <v>1075.5</v>
      </c>
      <c r="K112" s="573">
        <f t="shared" si="48"/>
        <v>16905.3</v>
      </c>
      <c r="L112" s="638">
        <v>3000</v>
      </c>
      <c r="M112" s="638">
        <v>3000</v>
      </c>
      <c r="N112" s="638">
        <v>3000</v>
      </c>
      <c r="O112" s="638">
        <v>3000</v>
      </c>
      <c r="P112" s="638">
        <v>3000</v>
      </c>
      <c r="Q112" s="582">
        <f t="shared" si="49"/>
        <v>15000</v>
      </c>
      <c r="S112" s="428">
        <f t="shared" si="46"/>
        <v>3000</v>
      </c>
    </row>
    <row r="113" spans="1:19" ht="16.5">
      <c r="A113" s="487">
        <v>5.7</v>
      </c>
      <c r="B113" s="549" t="s">
        <v>64</v>
      </c>
      <c r="C113" s="487" t="s">
        <v>412</v>
      </c>
      <c r="D113" s="638">
        <v>294651.05</v>
      </c>
      <c r="E113" s="638">
        <v>294651.05</v>
      </c>
      <c r="F113" s="638">
        <v>294665.98</v>
      </c>
      <c r="G113" s="638">
        <v>294947.1</v>
      </c>
      <c r="H113" s="638">
        <v>296075.84</v>
      </c>
      <c r="I113" s="638">
        <v>296724.39</v>
      </c>
      <c r="J113" s="638">
        <v>297524.39</v>
      </c>
      <c r="K113" s="573">
        <f t="shared" si="48"/>
        <v>1479937.7000000002</v>
      </c>
      <c r="L113" s="637">
        <v>299324</v>
      </c>
      <c r="M113" s="637">
        <v>301224</v>
      </c>
      <c r="N113" s="637">
        <v>303324</v>
      </c>
      <c r="O113" s="637">
        <v>305424</v>
      </c>
      <c r="P113" s="637">
        <v>307640</v>
      </c>
      <c r="Q113" s="582">
        <f t="shared" si="49"/>
        <v>1516936</v>
      </c>
      <c r="S113" s="428">
        <f t="shared" si="46"/>
        <v>303387.2</v>
      </c>
    </row>
    <row r="114" spans="1:19" ht="16.5">
      <c r="A114" s="487">
        <v>5.8</v>
      </c>
      <c r="B114" s="549" t="s">
        <v>65</v>
      </c>
      <c r="C114" s="487" t="s">
        <v>412</v>
      </c>
      <c r="D114" s="637"/>
      <c r="E114" s="637"/>
      <c r="F114" s="637"/>
      <c r="G114" s="637"/>
      <c r="H114" s="637"/>
      <c r="I114" s="637"/>
      <c r="J114" s="637"/>
      <c r="K114" s="631"/>
      <c r="L114" s="637"/>
      <c r="M114" s="637"/>
      <c r="N114" s="637"/>
      <c r="O114" s="637"/>
      <c r="P114" s="637"/>
      <c r="Q114" s="582">
        <f t="shared" si="49"/>
        <v>0</v>
      </c>
      <c r="S114" s="428">
        <f t="shared" si="46"/>
        <v>0</v>
      </c>
    </row>
    <row r="115" spans="1:19" ht="16.5">
      <c r="A115" s="487"/>
      <c r="B115" s="549" t="s">
        <v>441</v>
      </c>
      <c r="C115" s="487" t="s">
        <v>412</v>
      </c>
      <c r="D115" s="637"/>
      <c r="E115" s="637"/>
      <c r="F115" s="417">
        <v>9070.7</v>
      </c>
      <c r="G115" s="417">
        <v>10892.5</v>
      </c>
      <c r="H115" s="417">
        <v>5597.8</v>
      </c>
      <c r="I115" s="417">
        <v>6814.1</v>
      </c>
      <c r="J115" s="417">
        <v>100</v>
      </c>
      <c r="K115" s="581">
        <f t="shared" si="48"/>
        <v>32475.1</v>
      </c>
      <c r="L115" s="637"/>
      <c r="M115" s="637"/>
      <c r="N115" s="637"/>
      <c r="O115" s="637"/>
      <c r="P115" s="637"/>
      <c r="Q115" s="582">
        <f t="shared" si="49"/>
        <v>0</v>
      </c>
      <c r="S115" s="428">
        <f t="shared" si="46"/>
        <v>0</v>
      </c>
    </row>
    <row r="116" spans="1:19" ht="16.5">
      <c r="A116" s="487"/>
      <c r="B116" s="549" t="s">
        <v>442</v>
      </c>
      <c r="C116" s="487" t="s">
        <v>412</v>
      </c>
      <c r="D116" s="637"/>
      <c r="E116" s="637"/>
      <c r="F116" s="637"/>
      <c r="G116" s="637"/>
      <c r="H116" s="637"/>
      <c r="I116" s="637"/>
      <c r="J116" s="637"/>
      <c r="K116" s="631"/>
      <c r="L116" s="637"/>
      <c r="M116" s="637"/>
      <c r="N116" s="637"/>
      <c r="O116" s="637"/>
      <c r="P116" s="637"/>
      <c r="Q116" s="582">
        <f aca="true" t="shared" si="50" ref="Q116:Q123">(L116+M116+N116+O116+P116)/5</f>
        <v>0</v>
      </c>
      <c r="S116" s="428">
        <f t="shared" si="46"/>
        <v>0</v>
      </c>
    </row>
    <row r="117" spans="1:19" ht="16.5">
      <c r="A117" s="487">
        <v>5.9</v>
      </c>
      <c r="B117" s="549" t="s">
        <v>66</v>
      </c>
      <c r="C117" s="487" t="s">
        <v>412</v>
      </c>
      <c r="D117" s="417">
        <v>71082.76</v>
      </c>
      <c r="E117" s="417">
        <v>71082.76</v>
      </c>
      <c r="F117" s="417">
        <v>71082.76</v>
      </c>
      <c r="G117" s="417">
        <v>71082.76</v>
      </c>
      <c r="H117" s="417">
        <v>71082.76</v>
      </c>
      <c r="I117" s="417">
        <v>71082.76</v>
      </c>
      <c r="J117" s="417">
        <v>71082.76</v>
      </c>
      <c r="K117" s="581">
        <f>J117</f>
        <v>71082.76</v>
      </c>
      <c r="L117" s="417">
        <v>71082.76</v>
      </c>
      <c r="M117" s="417">
        <v>71082.76</v>
      </c>
      <c r="N117" s="417">
        <v>71082.76</v>
      </c>
      <c r="O117" s="417">
        <v>71082.76</v>
      </c>
      <c r="P117" s="417">
        <v>71082.76</v>
      </c>
      <c r="Q117" s="582">
        <f t="shared" si="50"/>
        <v>71082.76</v>
      </c>
      <c r="S117" s="428">
        <f t="shared" si="46"/>
        <v>71082.76</v>
      </c>
    </row>
    <row r="118" spans="1:19" ht="26.25" customHeight="1">
      <c r="A118" s="487"/>
      <c r="B118" s="549" t="s">
        <v>67</v>
      </c>
      <c r="C118" s="487" t="s">
        <v>412</v>
      </c>
      <c r="D118" s="417">
        <v>71082.76</v>
      </c>
      <c r="E118" s="417">
        <v>71082.76</v>
      </c>
      <c r="F118" s="417">
        <v>71082.76</v>
      </c>
      <c r="G118" s="417">
        <v>71082.76</v>
      </c>
      <c r="H118" s="417">
        <v>71082.76</v>
      </c>
      <c r="I118" s="417">
        <v>71082.76</v>
      </c>
      <c r="J118" s="417">
        <v>71082.76</v>
      </c>
      <c r="K118" s="581">
        <f>J118</f>
        <v>71082.76</v>
      </c>
      <c r="L118" s="417">
        <v>71082.76</v>
      </c>
      <c r="M118" s="417">
        <v>71082.76</v>
      </c>
      <c r="N118" s="417">
        <v>71082.76</v>
      </c>
      <c r="O118" s="417">
        <v>71082.76</v>
      </c>
      <c r="P118" s="417">
        <v>71082.76</v>
      </c>
      <c r="Q118" s="582">
        <f t="shared" si="50"/>
        <v>71082.76</v>
      </c>
      <c r="S118" s="428">
        <f t="shared" si="46"/>
        <v>71082.76</v>
      </c>
    </row>
    <row r="119" spans="1:19" ht="28.5" customHeight="1">
      <c r="A119" s="639" t="s">
        <v>68</v>
      </c>
      <c r="B119" s="549" t="s">
        <v>69</v>
      </c>
      <c r="C119" s="487" t="s">
        <v>412</v>
      </c>
      <c r="D119" s="417">
        <v>6.83</v>
      </c>
      <c r="E119" s="417">
        <v>6.83</v>
      </c>
      <c r="F119" s="417">
        <v>6.83</v>
      </c>
      <c r="G119" s="417">
        <v>6.83</v>
      </c>
      <c r="H119" s="417">
        <v>18.39</v>
      </c>
      <c r="I119" s="417">
        <v>18.39</v>
      </c>
      <c r="J119" s="417">
        <f>J105</f>
        <v>55.39</v>
      </c>
      <c r="K119" s="581">
        <f aca="true" t="shared" si="51" ref="K119:Q119">K105</f>
        <v>55.39</v>
      </c>
      <c r="L119" s="417">
        <f t="shared" si="51"/>
        <v>127.39</v>
      </c>
      <c r="M119" s="417">
        <f t="shared" si="51"/>
        <v>199.39</v>
      </c>
      <c r="N119" s="417">
        <f t="shared" si="51"/>
        <v>271.39</v>
      </c>
      <c r="O119" s="417">
        <f t="shared" si="51"/>
        <v>343.39</v>
      </c>
      <c r="P119" s="417">
        <f t="shared" si="51"/>
        <v>415.39</v>
      </c>
      <c r="Q119" s="417">
        <f t="shared" si="51"/>
        <v>415.39</v>
      </c>
      <c r="S119" s="428">
        <f t="shared" si="46"/>
        <v>271.39</v>
      </c>
    </row>
    <row r="120" spans="1:19" ht="27.75" customHeight="1">
      <c r="A120" s="487">
        <v>5.11</v>
      </c>
      <c r="B120" s="549" t="s">
        <v>70</v>
      </c>
      <c r="C120" s="487" t="s">
        <v>412</v>
      </c>
      <c r="D120" s="417">
        <v>41508.7</v>
      </c>
      <c r="E120" s="417">
        <v>41508.7</v>
      </c>
      <c r="F120" s="417">
        <v>53601.7</v>
      </c>
      <c r="G120" s="417">
        <v>53601.7</v>
      </c>
      <c r="H120" s="417">
        <v>56968.7</v>
      </c>
      <c r="I120" s="417">
        <v>56968.7</v>
      </c>
      <c r="J120" s="417">
        <v>56968.7</v>
      </c>
      <c r="K120" s="581">
        <f>J120</f>
        <v>56968.7</v>
      </c>
      <c r="L120" s="417">
        <v>56968.7</v>
      </c>
      <c r="M120" s="417">
        <v>56968.7</v>
      </c>
      <c r="N120" s="417">
        <v>56968.7</v>
      </c>
      <c r="O120" s="417">
        <v>56968.7</v>
      </c>
      <c r="P120" s="417">
        <v>56968.7</v>
      </c>
      <c r="Q120" s="582">
        <f t="shared" si="50"/>
        <v>56968.7</v>
      </c>
      <c r="S120" s="428">
        <f t="shared" si="46"/>
        <v>56968.7</v>
      </c>
    </row>
    <row r="121" spans="1:19" ht="16.5">
      <c r="A121" s="487">
        <v>5.12</v>
      </c>
      <c r="B121" s="549" t="s">
        <v>71</v>
      </c>
      <c r="C121" s="487" t="s">
        <v>72</v>
      </c>
      <c r="D121" s="640">
        <f>SUM(D122:D123)</f>
        <v>162.668</v>
      </c>
      <c r="E121" s="640">
        <f>SUM(E122:E123)</f>
        <v>162.67000000000002</v>
      </c>
      <c r="F121" s="640">
        <f aca="true" t="shared" si="52" ref="F121:P121">SUM(F122:F123)</f>
        <v>176.858</v>
      </c>
      <c r="G121" s="640">
        <f>SUM(G122:G123)</f>
        <v>179.822</v>
      </c>
      <c r="H121" s="640">
        <f t="shared" si="52"/>
        <v>193.55079999999998</v>
      </c>
      <c r="I121" s="640">
        <f t="shared" si="52"/>
        <v>256.6512</v>
      </c>
      <c r="J121" s="640">
        <f t="shared" si="52"/>
        <v>196</v>
      </c>
      <c r="K121" s="576">
        <f>(J121+I121+H121+G121+F121)/5</f>
        <v>200.5764</v>
      </c>
      <c r="L121" s="640">
        <f t="shared" si="52"/>
        <v>201</v>
      </c>
      <c r="M121" s="640">
        <f t="shared" si="52"/>
        <v>202</v>
      </c>
      <c r="N121" s="640">
        <f t="shared" si="52"/>
        <v>203</v>
      </c>
      <c r="O121" s="640">
        <f t="shared" si="52"/>
        <v>204</v>
      </c>
      <c r="P121" s="640">
        <f t="shared" si="52"/>
        <v>205</v>
      </c>
      <c r="Q121" s="641">
        <f t="shared" si="50"/>
        <v>203</v>
      </c>
      <c r="S121" s="428">
        <f t="shared" si="46"/>
        <v>203</v>
      </c>
    </row>
    <row r="122" spans="1:19" ht="16.5">
      <c r="A122" s="487"/>
      <c r="B122" s="625" t="s">
        <v>481</v>
      </c>
      <c r="C122" s="487" t="s">
        <v>72</v>
      </c>
      <c r="D122" s="574">
        <v>3.81</v>
      </c>
      <c r="E122" s="574">
        <v>3.81</v>
      </c>
      <c r="F122" s="642">
        <v>9.3</v>
      </c>
      <c r="G122" s="575">
        <v>3.266</v>
      </c>
      <c r="H122" s="575">
        <v>2.0408</v>
      </c>
      <c r="I122" s="575">
        <v>3.1732</v>
      </c>
      <c r="J122" s="575"/>
      <c r="K122" s="643">
        <f>(J122+I122+H122+G122+F122)/5</f>
        <v>3.556</v>
      </c>
      <c r="L122" s="575">
        <v>0</v>
      </c>
      <c r="M122" s="575">
        <v>0</v>
      </c>
      <c r="N122" s="575">
        <v>0</v>
      </c>
      <c r="O122" s="575">
        <v>0</v>
      </c>
      <c r="P122" s="575">
        <v>0</v>
      </c>
      <c r="Q122" s="644">
        <f t="shared" si="50"/>
        <v>0</v>
      </c>
      <c r="S122" s="428">
        <f t="shared" si="46"/>
        <v>0</v>
      </c>
    </row>
    <row r="123" spans="1:19" ht="16.5">
      <c r="A123" s="487"/>
      <c r="B123" s="549" t="s">
        <v>73</v>
      </c>
      <c r="C123" s="487" t="s">
        <v>72</v>
      </c>
      <c r="D123" s="574">
        <v>158.858</v>
      </c>
      <c r="E123" s="574">
        <v>158.86</v>
      </c>
      <c r="F123" s="642">
        <v>167.558</v>
      </c>
      <c r="G123" s="645">
        <v>176.556</v>
      </c>
      <c r="H123" s="645">
        <v>191.51</v>
      </c>
      <c r="I123" s="575">
        <v>253.478</v>
      </c>
      <c r="J123" s="575">
        <v>196</v>
      </c>
      <c r="K123" s="643">
        <f>(J123+I123+H123+G123+F123)/5</f>
        <v>197.02040000000002</v>
      </c>
      <c r="L123" s="575">
        <v>201</v>
      </c>
      <c r="M123" s="575">
        <v>202</v>
      </c>
      <c r="N123" s="575">
        <v>203</v>
      </c>
      <c r="O123" s="575">
        <v>204</v>
      </c>
      <c r="P123" s="575">
        <v>205</v>
      </c>
      <c r="Q123" s="644">
        <f t="shared" si="50"/>
        <v>203</v>
      </c>
      <c r="S123" s="428">
        <f t="shared" si="46"/>
        <v>203</v>
      </c>
    </row>
    <row r="124" spans="1:19" ht="33">
      <c r="A124" s="487">
        <v>5.13</v>
      </c>
      <c r="B124" s="549" t="s">
        <v>74</v>
      </c>
      <c r="C124" s="487" t="s">
        <v>412</v>
      </c>
      <c r="D124" s="417">
        <v>21.36</v>
      </c>
      <c r="E124" s="417">
        <v>21.36</v>
      </c>
      <c r="F124" s="417">
        <v>112.5</v>
      </c>
      <c r="G124" s="417">
        <v>153.184</v>
      </c>
      <c r="H124" s="417">
        <v>56.57</v>
      </c>
      <c r="I124" s="417">
        <v>59.63</v>
      </c>
      <c r="J124" s="417">
        <v>40</v>
      </c>
      <c r="K124" s="581">
        <f>SUM(F124:J124)</f>
        <v>421.88399999999996</v>
      </c>
      <c r="L124" s="417">
        <v>40</v>
      </c>
      <c r="M124" s="417">
        <v>40</v>
      </c>
      <c r="N124" s="417">
        <v>40</v>
      </c>
      <c r="O124" s="417">
        <v>40</v>
      </c>
      <c r="P124" s="417">
        <v>40</v>
      </c>
      <c r="Q124" s="581">
        <v>200</v>
      </c>
      <c r="S124" s="428">
        <f t="shared" si="46"/>
        <v>40</v>
      </c>
    </row>
    <row r="125" spans="1:19" ht="33">
      <c r="A125" s="487">
        <v>5.14</v>
      </c>
      <c r="B125" s="549" t="s">
        <v>75</v>
      </c>
      <c r="C125" s="487" t="s">
        <v>406</v>
      </c>
      <c r="D125" s="487"/>
      <c r="E125" s="487"/>
      <c r="F125" s="584"/>
      <c r="G125" s="584"/>
      <c r="H125" s="584"/>
      <c r="I125" s="584"/>
      <c r="J125" s="584"/>
      <c r="K125" s="581"/>
      <c r="L125" s="584"/>
      <c r="M125" s="584"/>
      <c r="N125" s="584"/>
      <c r="O125" s="584"/>
      <c r="P125" s="584"/>
      <c r="Q125" s="586"/>
      <c r="S125" s="428">
        <f t="shared" si="46"/>
        <v>0</v>
      </c>
    </row>
    <row r="126" spans="1:30" ht="16.5">
      <c r="A126" s="487">
        <v>5.15</v>
      </c>
      <c r="B126" s="549" t="s">
        <v>76</v>
      </c>
      <c r="C126" s="487" t="s">
        <v>120</v>
      </c>
      <c r="D126" s="646">
        <v>56.54</v>
      </c>
      <c r="E126" s="637">
        <v>56.54</v>
      </c>
      <c r="F126" s="637">
        <v>56.69</v>
      </c>
      <c r="G126" s="637">
        <v>56.74</v>
      </c>
      <c r="H126" s="637">
        <v>56.61</v>
      </c>
      <c r="I126" s="637">
        <v>56.63</v>
      </c>
      <c r="J126" s="637">
        <v>56.74</v>
      </c>
      <c r="K126" s="631">
        <f>J126</f>
        <v>56.74</v>
      </c>
      <c r="L126" s="637">
        <v>57</v>
      </c>
      <c r="M126" s="637">
        <v>57.2</v>
      </c>
      <c r="N126" s="637">
        <v>57.4</v>
      </c>
      <c r="O126" s="637">
        <v>57.7</v>
      </c>
      <c r="P126" s="637">
        <v>58</v>
      </c>
      <c r="Q126" s="631">
        <f>P126-J126</f>
        <v>1.259999999999998</v>
      </c>
      <c r="R126" s="364">
        <f>(P126/L126)^0.25</f>
        <v>1.0043574016644918</v>
      </c>
      <c r="S126" s="428">
        <f t="shared" si="46"/>
        <v>57.46</v>
      </c>
      <c r="X126" s="422">
        <f>L126-J126</f>
        <v>0.259999999999998</v>
      </c>
      <c r="Y126" s="422">
        <f>M126-L126</f>
        <v>0.20000000000000284</v>
      </c>
      <c r="Z126" s="422">
        <f>N126-M126</f>
        <v>0.19999999999999574</v>
      </c>
      <c r="AA126" s="422">
        <f>O126-N126</f>
        <v>0.30000000000000426</v>
      </c>
      <c r="AB126" s="422">
        <f>P126-O126</f>
        <v>0.29999999999999716</v>
      </c>
      <c r="AC126" s="422">
        <f>AB126+AA126+Z126+Y126+X126</f>
        <v>1.259999999999998</v>
      </c>
      <c r="AD126" s="364">
        <f>AC126/5</f>
        <v>0.2519999999999996</v>
      </c>
    </row>
    <row r="127" spans="1:19" ht="16.5">
      <c r="A127" s="538" t="s">
        <v>215</v>
      </c>
      <c r="B127" s="583" t="s">
        <v>77</v>
      </c>
      <c r="C127" s="538"/>
      <c r="D127" s="578"/>
      <c r="E127" s="487"/>
      <c r="F127" s="584"/>
      <c r="G127" s="584"/>
      <c r="H127" s="584"/>
      <c r="I127" s="584"/>
      <c r="J127" s="584"/>
      <c r="K127" s="581"/>
      <c r="L127" s="584"/>
      <c r="M127" s="584"/>
      <c r="N127" s="584"/>
      <c r="O127" s="584"/>
      <c r="P127" s="584"/>
      <c r="Q127" s="631">
        <f>P127-J127</f>
        <v>0</v>
      </c>
      <c r="S127" s="428">
        <f t="shared" si="46"/>
        <v>0</v>
      </c>
    </row>
    <row r="128" spans="1:19" ht="16.5" customHeight="1">
      <c r="A128" s="487">
        <v>1</v>
      </c>
      <c r="B128" s="549" t="s">
        <v>78</v>
      </c>
      <c r="C128" s="487" t="s">
        <v>439</v>
      </c>
      <c r="D128" s="647">
        <v>806</v>
      </c>
      <c r="E128" s="545"/>
      <c r="F128" s="567">
        <v>832.4</v>
      </c>
      <c r="G128" s="567">
        <v>847.4</v>
      </c>
      <c r="H128" s="567">
        <v>852.4</v>
      </c>
      <c r="I128" s="567">
        <v>901.4</v>
      </c>
      <c r="J128" s="567">
        <v>921.4</v>
      </c>
      <c r="K128" s="648">
        <f>J128</f>
        <v>921.4</v>
      </c>
      <c r="L128" s="567">
        <v>971.4</v>
      </c>
      <c r="M128" s="613">
        <v>1021.4</v>
      </c>
      <c r="N128" s="613">
        <v>1071.4</v>
      </c>
      <c r="O128" s="613">
        <v>1121.4</v>
      </c>
      <c r="P128" s="613">
        <v>1171.4</v>
      </c>
      <c r="Q128" s="649">
        <f>P128</f>
        <v>1171.4</v>
      </c>
      <c r="S128" s="428">
        <f t="shared" si="46"/>
        <v>1071.4</v>
      </c>
    </row>
    <row r="129" spans="1:19" ht="16.5">
      <c r="A129" s="487">
        <v>2</v>
      </c>
      <c r="B129" s="549" t="s">
        <v>79</v>
      </c>
      <c r="C129" s="487" t="s">
        <v>80</v>
      </c>
      <c r="D129" s="578">
        <v>55</v>
      </c>
      <c r="E129" s="487"/>
      <c r="F129" s="584">
        <v>55</v>
      </c>
      <c r="G129" s="584">
        <v>55</v>
      </c>
      <c r="H129" s="584">
        <v>55</v>
      </c>
      <c r="I129" s="584">
        <v>55</v>
      </c>
      <c r="J129" s="584">
        <v>56</v>
      </c>
      <c r="K129" s="581">
        <f aca="true" t="shared" si="53" ref="K129:K146">J129</f>
        <v>56</v>
      </c>
      <c r="L129" s="584">
        <v>56</v>
      </c>
      <c r="M129" s="584">
        <v>56</v>
      </c>
      <c r="N129" s="584">
        <v>56</v>
      </c>
      <c r="O129" s="584">
        <v>56</v>
      </c>
      <c r="P129" s="584">
        <v>56</v>
      </c>
      <c r="Q129" s="581">
        <f aca="true" t="shared" si="54" ref="Q129:Q145">P129</f>
        <v>56</v>
      </c>
      <c r="S129" s="428">
        <f t="shared" si="46"/>
        <v>56</v>
      </c>
    </row>
    <row r="130" spans="1:23" ht="33">
      <c r="A130" s="487" t="s">
        <v>396</v>
      </c>
      <c r="B130" s="549" t="s">
        <v>81</v>
      </c>
      <c r="C130" s="487" t="s">
        <v>464</v>
      </c>
      <c r="D130" s="578"/>
      <c r="E130" s="487"/>
      <c r="F130" s="469">
        <v>118040</v>
      </c>
      <c r="G130" s="469">
        <v>118040</v>
      </c>
      <c r="H130" s="469">
        <v>118040</v>
      </c>
      <c r="I130" s="469">
        <v>118040</v>
      </c>
      <c r="J130" s="469">
        <v>764040</v>
      </c>
      <c r="K130" s="581">
        <f t="shared" si="53"/>
        <v>764040</v>
      </c>
      <c r="L130" s="469">
        <v>772740</v>
      </c>
      <c r="M130" s="469">
        <v>772740</v>
      </c>
      <c r="N130" s="469">
        <v>772740</v>
      </c>
      <c r="O130" s="469">
        <v>772740</v>
      </c>
      <c r="P130" s="469">
        <v>772740</v>
      </c>
      <c r="Q130" s="582">
        <f t="shared" si="54"/>
        <v>772740</v>
      </c>
      <c r="S130" s="428">
        <f t="shared" si="46"/>
        <v>772740</v>
      </c>
      <c r="W130" s="421"/>
    </row>
    <row r="131" spans="1:19" ht="16.5">
      <c r="A131" s="487">
        <v>3</v>
      </c>
      <c r="B131" s="549" t="s">
        <v>82</v>
      </c>
      <c r="C131" s="487" t="s">
        <v>439</v>
      </c>
      <c r="D131" s="415">
        <v>71.906</v>
      </c>
      <c r="E131" s="415">
        <v>17.4</v>
      </c>
      <c r="F131" s="469">
        <f aca="true" t="shared" si="55" ref="F131:P131">F132+F133</f>
        <v>88.906</v>
      </c>
      <c r="G131" s="469">
        <f t="shared" si="55"/>
        <v>94.286</v>
      </c>
      <c r="H131" s="469">
        <f t="shared" si="55"/>
        <v>98.486</v>
      </c>
      <c r="I131" s="469">
        <f t="shared" si="55"/>
        <v>103.446</v>
      </c>
      <c r="J131" s="469">
        <f t="shared" si="55"/>
        <v>112.946</v>
      </c>
      <c r="K131" s="581">
        <f t="shared" si="53"/>
        <v>112.946</v>
      </c>
      <c r="L131" s="469">
        <f t="shared" si="55"/>
        <v>147.846</v>
      </c>
      <c r="M131" s="469">
        <f t="shared" si="55"/>
        <v>182.846</v>
      </c>
      <c r="N131" s="469">
        <f t="shared" si="55"/>
        <v>212.846</v>
      </c>
      <c r="O131" s="469">
        <f t="shared" si="55"/>
        <v>240.846</v>
      </c>
      <c r="P131" s="469">
        <f t="shared" si="55"/>
        <v>264.95</v>
      </c>
      <c r="Q131" s="596">
        <f t="shared" si="54"/>
        <v>264.95</v>
      </c>
      <c r="S131" s="428">
        <f t="shared" si="46"/>
        <v>209.8668</v>
      </c>
    </row>
    <row r="132" spans="1:19" ht="33">
      <c r="A132" s="487"/>
      <c r="B132" s="587" t="s">
        <v>83</v>
      </c>
      <c r="C132" s="487" t="s">
        <v>439</v>
      </c>
      <c r="D132" s="415">
        <v>43.69</v>
      </c>
      <c r="E132" s="487"/>
      <c r="F132" s="469">
        <v>57.69</v>
      </c>
      <c r="G132" s="469">
        <v>59.99</v>
      </c>
      <c r="H132" s="469">
        <v>60.49</v>
      </c>
      <c r="I132" s="469">
        <v>61.05</v>
      </c>
      <c r="J132" s="469">
        <v>63.05</v>
      </c>
      <c r="K132" s="581">
        <f t="shared" si="53"/>
        <v>63.05</v>
      </c>
      <c r="L132" s="469">
        <v>67.95</v>
      </c>
      <c r="M132" s="469">
        <v>72.95</v>
      </c>
      <c r="N132" s="469">
        <v>77.95</v>
      </c>
      <c r="O132" s="469">
        <v>80.95</v>
      </c>
      <c r="P132" s="469">
        <v>83.95</v>
      </c>
      <c r="Q132" s="596">
        <f t="shared" si="54"/>
        <v>83.95</v>
      </c>
      <c r="S132" s="428">
        <f t="shared" si="46"/>
        <v>76.75</v>
      </c>
    </row>
    <row r="133" spans="1:19" ht="33">
      <c r="A133" s="487"/>
      <c r="B133" s="650" t="s">
        <v>84</v>
      </c>
      <c r="C133" s="487" t="s">
        <v>439</v>
      </c>
      <c r="D133" s="415">
        <v>28.216</v>
      </c>
      <c r="E133" s="487"/>
      <c r="F133" s="469">
        <v>31.216</v>
      </c>
      <c r="G133" s="469">
        <v>34.296</v>
      </c>
      <c r="H133" s="469">
        <v>37.996</v>
      </c>
      <c r="I133" s="469">
        <v>42.396</v>
      </c>
      <c r="J133" s="469">
        <v>49.896</v>
      </c>
      <c r="K133" s="581">
        <f t="shared" si="53"/>
        <v>49.896</v>
      </c>
      <c r="L133" s="469">
        <v>79.896</v>
      </c>
      <c r="M133" s="469">
        <v>109.896</v>
      </c>
      <c r="N133" s="469">
        <v>134.89600000000002</v>
      </c>
      <c r="O133" s="469">
        <v>159.89600000000002</v>
      </c>
      <c r="P133" s="469">
        <v>181</v>
      </c>
      <c r="Q133" s="596">
        <f t="shared" si="54"/>
        <v>181</v>
      </c>
      <c r="S133" s="428">
        <f t="shared" si="46"/>
        <v>133.1168</v>
      </c>
    </row>
    <row r="134" spans="1:19" ht="16.5">
      <c r="A134" s="487"/>
      <c r="B134" s="549" t="s">
        <v>85</v>
      </c>
      <c r="C134" s="487" t="s">
        <v>120</v>
      </c>
      <c r="D134" s="647">
        <f>D133/181*100</f>
        <v>15.588950276243093</v>
      </c>
      <c r="E134" s="545">
        <f aca="true" t="shared" si="56" ref="E134:P134">E133/181*100</f>
        <v>0</v>
      </c>
      <c r="F134" s="651">
        <f t="shared" si="56"/>
        <v>17.246408839779008</v>
      </c>
      <c r="G134" s="651">
        <f t="shared" si="56"/>
        <v>18.948066298342543</v>
      </c>
      <c r="H134" s="651">
        <f>H133/181*100</f>
        <v>20.992265193370166</v>
      </c>
      <c r="I134" s="651">
        <f t="shared" si="56"/>
        <v>23.423204419889505</v>
      </c>
      <c r="J134" s="651">
        <f t="shared" si="56"/>
        <v>27.566850828729283</v>
      </c>
      <c r="K134" s="631">
        <f t="shared" si="53"/>
        <v>27.566850828729283</v>
      </c>
      <c r="L134" s="651">
        <f t="shared" si="56"/>
        <v>44.14143646408839</v>
      </c>
      <c r="M134" s="651">
        <f t="shared" si="56"/>
        <v>60.71602209944752</v>
      </c>
      <c r="N134" s="651">
        <f t="shared" si="56"/>
        <v>74.52817679558011</v>
      </c>
      <c r="O134" s="651">
        <f t="shared" si="56"/>
        <v>88.34033149171272</v>
      </c>
      <c r="P134" s="594">
        <f t="shared" si="56"/>
        <v>100</v>
      </c>
      <c r="Q134" s="596">
        <f t="shared" si="54"/>
        <v>100</v>
      </c>
      <c r="S134" s="428">
        <f t="shared" si="46"/>
        <v>73.54519337016575</v>
      </c>
    </row>
    <row r="135" spans="1:19" ht="16.5">
      <c r="A135" s="487">
        <v>4</v>
      </c>
      <c r="B135" s="549" t="s">
        <v>86</v>
      </c>
      <c r="C135" s="487" t="s">
        <v>80</v>
      </c>
      <c r="D135" s="578">
        <v>321</v>
      </c>
      <c r="E135" s="487"/>
      <c r="F135" s="584">
        <v>321</v>
      </c>
      <c r="G135" s="584">
        <v>321</v>
      </c>
      <c r="H135" s="584">
        <v>321</v>
      </c>
      <c r="I135" s="584">
        <v>321</v>
      </c>
      <c r="J135" s="584">
        <v>321</v>
      </c>
      <c r="K135" s="581">
        <f t="shared" si="53"/>
        <v>321</v>
      </c>
      <c r="L135" s="584">
        <v>321</v>
      </c>
      <c r="M135" s="584">
        <v>321</v>
      </c>
      <c r="N135" s="584">
        <v>321</v>
      </c>
      <c r="O135" s="584">
        <v>321</v>
      </c>
      <c r="P135" s="584">
        <v>321</v>
      </c>
      <c r="Q135" s="596">
        <f t="shared" si="54"/>
        <v>321</v>
      </c>
      <c r="S135" s="428">
        <f aca="true" t="shared" si="57" ref="S135:S157">SUM(L135:P135)/5</f>
        <v>321</v>
      </c>
    </row>
    <row r="136" spans="1:19" ht="18.75" customHeight="1">
      <c r="A136" s="487">
        <v>5</v>
      </c>
      <c r="B136" s="549" t="s">
        <v>87</v>
      </c>
      <c r="C136" s="487" t="s">
        <v>440</v>
      </c>
      <c r="D136" s="578">
        <v>297</v>
      </c>
      <c r="E136" s="487"/>
      <c r="F136" s="584">
        <v>297</v>
      </c>
      <c r="G136" s="584">
        <f>F136+2</f>
        <v>299</v>
      </c>
      <c r="H136" s="584">
        <f>G136+1</f>
        <v>300</v>
      </c>
      <c r="I136" s="584">
        <f>H136+3</f>
        <v>303</v>
      </c>
      <c r="J136" s="584">
        <f>I136+1</f>
        <v>304</v>
      </c>
      <c r="K136" s="581">
        <f t="shared" si="53"/>
        <v>304</v>
      </c>
      <c r="L136" s="584">
        <f>J136</f>
        <v>304</v>
      </c>
      <c r="M136" s="584">
        <f>L136</f>
        <v>304</v>
      </c>
      <c r="N136" s="584">
        <f>L136</f>
        <v>304</v>
      </c>
      <c r="O136" s="584">
        <f>M136</f>
        <v>304</v>
      </c>
      <c r="P136" s="584">
        <f>N136</f>
        <v>304</v>
      </c>
      <c r="Q136" s="596">
        <f t="shared" si="54"/>
        <v>304</v>
      </c>
      <c r="S136" s="428">
        <f t="shared" si="57"/>
        <v>304</v>
      </c>
    </row>
    <row r="137" spans="1:19" ht="18.75" customHeight="1">
      <c r="A137" s="487"/>
      <c r="B137" s="549" t="s">
        <v>88</v>
      </c>
      <c r="C137" s="487" t="s">
        <v>412</v>
      </c>
      <c r="D137" s="415">
        <v>34872.026</v>
      </c>
      <c r="E137" s="487"/>
      <c r="F137" s="469">
        <v>35583.7</v>
      </c>
      <c r="G137" s="469">
        <v>35953.7</v>
      </c>
      <c r="H137" s="469">
        <v>36103.7</v>
      </c>
      <c r="I137" s="469">
        <v>36198.7</v>
      </c>
      <c r="J137" s="469">
        <v>38008.635</v>
      </c>
      <c r="K137" s="581">
        <f t="shared" si="53"/>
        <v>38008.635</v>
      </c>
      <c r="L137" s="580">
        <v>38000</v>
      </c>
      <c r="M137" s="580">
        <v>38000</v>
      </c>
      <c r="N137" s="580">
        <v>38000</v>
      </c>
      <c r="O137" s="580">
        <v>38000</v>
      </c>
      <c r="P137" s="528">
        <v>38000</v>
      </c>
      <c r="Q137" s="596">
        <f t="shared" si="54"/>
        <v>38000</v>
      </c>
      <c r="S137" s="428">
        <f t="shared" si="57"/>
        <v>38000</v>
      </c>
    </row>
    <row r="138" spans="1:19" ht="18.75" customHeight="1">
      <c r="A138" s="487"/>
      <c r="B138" s="549" t="s">
        <v>89</v>
      </c>
      <c r="C138" s="487" t="s">
        <v>412</v>
      </c>
      <c r="D138" s="415">
        <v>9731</v>
      </c>
      <c r="E138" s="487"/>
      <c r="F138" s="415">
        <v>9781</v>
      </c>
      <c r="G138" s="415">
        <v>10223</v>
      </c>
      <c r="H138" s="415">
        <v>10500</v>
      </c>
      <c r="I138" s="415">
        <v>10500</v>
      </c>
      <c r="J138" s="415">
        <v>10500</v>
      </c>
      <c r="K138" s="581">
        <f t="shared" si="53"/>
        <v>10500</v>
      </c>
      <c r="L138" s="415">
        <v>10500</v>
      </c>
      <c r="M138" s="415">
        <v>10500</v>
      </c>
      <c r="N138" s="415">
        <v>10500</v>
      </c>
      <c r="O138" s="415">
        <v>10500</v>
      </c>
      <c r="P138" s="415">
        <v>10500</v>
      </c>
      <c r="Q138" s="596">
        <f t="shared" si="54"/>
        <v>10500</v>
      </c>
      <c r="S138" s="428">
        <f t="shared" si="57"/>
        <v>10500</v>
      </c>
    </row>
    <row r="139" spans="1:19" ht="33">
      <c r="A139" s="487">
        <v>6</v>
      </c>
      <c r="B139" s="549" t="s">
        <v>90</v>
      </c>
      <c r="C139" s="487" t="s">
        <v>412</v>
      </c>
      <c r="D139" s="415">
        <v>51374.36812119107</v>
      </c>
      <c r="E139" s="487"/>
      <c r="F139" s="469">
        <v>51469.36812119107</v>
      </c>
      <c r="G139" s="469">
        <v>51839.36812119107</v>
      </c>
      <c r="H139" s="469">
        <v>52039.36812119107</v>
      </c>
      <c r="I139" s="469">
        <v>52189.36812119107</v>
      </c>
      <c r="J139" s="469">
        <v>52284.36812119107</v>
      </c>
      <c r="K139" s="581">
        <f t="shared" si="53"/>
        <v>52284.36812119107</v>
      </c>
      <c r="L139" s="452">
        <v>52280</v>
      </c>
      <c r="M139" s="452">
        <v>52280</v>
      </c>
      <c r="N139" s="452">
        <v>52280</v>
      </c>
      <c r="O139" s="452">
        <v>52280</v>
      </c>
      <c r="P139" s="452">
        <v>52280</v>
      </c>
      <c r="Q139" s="548">
        <f t="shared" si="54"/>
        <v>52280</v>
      </c>
      <c r="S139" s="428">
        <f t="shared" si="57"/>
        <v>52280</v>
      </c>
    </row>
    <row r="140" spans="1:19" ht="16.5">
      <c r="A140" s="487"/>
      <c r="B140" s="549" t="s">
        <v>91</v>
      </c>
      <c r="C140" s="487" t="s">
        <v>120</v>
      </c>
      <c r="D140" s="415">
        <v>84</v>
      </c>
      <c r="E140" s="487"/>
      <c r="F140" s="496">
        <v>92.73091690903553</v>
      </c>
      <c r="G140" s="496">
        <v>93.3975355311168</v>
      </c>
      <c r="H140" s="496">
        <v>93.75786992143102</v>
      </c>
      <c r="I140" s="496">
        <v>94.02812071416668</v>
      </c>
      <c r="J140" s="496">
        <v>94.19927954956593</v>
      </c>
      <c r="K140" s="573">
        <f t="shared" si="53"/>
        <v>94.19927954956593</v>
      </c>
      <c r="L140" s="580">
        <v>95</v>
      </c>
      <c r="M140" s="580">
        <v>95</v>
      </c>
      <c r="N140" s="580">
        <v>95</v>
      </c>
      <c r="O140" s="580">
        <v>95</v>
      </c>
      <c r="P140" s="580">
        <v>95</v>
      </c>
      <c r="Q140" s="548">
        <f t="shared" si="54"/>
        <v>95</v>
      </c>
      <c r="S140" s="428">
        <f t="shared" si="57"/>
        <v>95</v>
      </c>
    </row>
    <row r="141" spans="1:19" ht="33">
      <c r="A141" s="487">
        <v>7</v>
      </c>
      <c r="B141" s="549" t="s">
        <v>92</v>
      </c>
      <c r="C141" s="487" t="s">
        <v>412</v>
      </c>
      <c r="D141" s="415">
        <v>21731</v>
      </c>
      <c r="E141" s="487"/>
      <c r="F141" s="652">
        <v>21781</v>
      </c>
      <c r="G141" s="653">
        <v>22223</v>
      </c>
      <c r="H141" s="653">
        <v>22500</v>
      </c>
      <c r="I141" s="469">
        <v>22500</v>
      </c>
      <c r="J141" s="417">
        <v>22500</v>
      </c>
      <c r="K141" s="581">
        <f t="shared" si="53"/>
        <v>22500</v>
      </c>
      <c r="L141" s="417">
        <v>22500</v>
      </c>
      <c r="M141" s="417">
        <v>22500</v>
      </c>
      <c r="N141" s="417">
        <v>22500</v>
      </c>
      <c r="O141" s="417">
        <v>22500</v>
      </c>
      <c r="P141" s="417">
        <v>22500</v>
      </c>
      <c r="Q141" s="548">
        <f t="shared" si="54"/>
        <v>22500</v>
      </c>
      <c r="S141" s="428">
        <f t="shared" si="57"/>
        <v>22500</v>
      </c>
    </row>
    <row r="142" spans="1:19" ht="16.5">
      <c r="A142" s="487"/>
      <c r="B142" s="549" t="s">
        <v>93</v>
      </c>
      <c r="C142" s="487" t="s">
        <v>120</v>
      </c>
      <c r="D142" s="654">
        <v>39.152133179590656</v>
      </c>
      <c r="E142" s="487"/>
      <c r="F142" s="654">
        <v>39.24221677716921</v>
      </c>
      <c r="G142" s="654">
        <v>40.03855577976362</v>
      </c>
      <c r="H142" s="654">
        <v>40.537618910348804</v>
      </c>
      <c r="I142" s="654">
        <v>40.537618910348804</v>
      </c>
      <c r="J142" s="654">
        <v>40.537618910348804</v>
      </c>
      <c r="K142" s="581">
        <f t="shared" si="53"/>
        <v>40.537618910348804</v>
      </c>
      <c r="L142" s="584">
        <v>41</v>
      </c>
      <c r="M142" s="584">
        <v>41</v>
      </c>
      <c r="N142" s="584">
        <v>41</v>
      </c>
      <c r="O142" s="584">
        <v>41</v>
      </c>
      <c r="P142" s="584">
        <v>41</v>
      </c>
      <c r="Q142" s="548">
        <f t="shared" si="54"/>
        <v>41</v>
      </c>
      <c r="S142" s="428">
        <f t="shared" si="57"/>
        <v>41</v>
      </c>
    </row>
    <row r="143" spans="1:19" ht="24.75" customHeight="1">
      <c r="A143" s="487">
        <v>8</v>
      </c>
      <c r="B143" s="549" t="s">
        <v>94</v>
      </c>
      <c r="C143" s="487" t="s">
        <v>95</v>
      </c>
      <c r="D143" s="482">
        <v>10</v>
      </c>
      <c r="E143" s="482"/>
      <c r="F143" s="622">
        <v>16</v>
      </c>
      <c r="G143" s="622">
        <v>20</v>
      </c>
      <c r="H143" s="622">
        <v>20</v>
      </c>
      <c r="I143" s="622">
        <v>20</v>
      </c>
      <c r="J143" s="622">
        <v>22</v>
      </c>
      <c r="K143" s="581">
        <f t="shared" si="53"/>
        <v>22</v>
      </c>
      <c r="L143" s="622">
        <v>26</v>
      </c>
      <c r="M143" s="622">
        <v>30</v>
      </c>
      <c r="N143" s="622">
        <v>34</v>
      </c>
      <c r="O143" s="622">
        <v>37</v>
      </c>
      <c r="P143" s="622">
        <v>39</v>
      </c>
      <c r="Q143" s="548">
        <f t="shared" si="54"/>
        <v>39</v>
      </c>
      <c r="R143" s="427"/>
      <c r="S143" s="428">
        <f t="shared" si="57"/>
        <v>33.2</v>
      </c>
    </row>
    <row r="144" spans="1:19" ht="16.5">
      <c r="A144" s="487">
        <v>9</v>
      </c>
      <c r="B144" s="549" t="s">
        <v>96</v>
      </c>
      <c r="C144" s="487" t="s">
        <v>437</v>
      </c>
      <c r="D144" s="482">
        <v>1</v>
      </c>
      <c r="E144" s="482"/>
      <c r="F144" s="622">
        <v>1</v>
      </c>
      <c r="G144" s="622">
        <v>1</v>
      </c>
      <c r="H144" s="622">
        <v>1</v>
      </c>
      <c r="I144" s="622">
        <v>1</v>
      </c>
      <c r="J144" s="622">
        <v>2</v>
      </c>
      <c r="K144" s="581">
        <f t="shared" si="53"/>
        <v>2</v>
      </c>
      <c r="L144" s="622">
        <v>2</v>
      </c>
      <c r="M144" s="622">
        <v>3</v>
      </c>
      <c r="N144" s="622">
        <v>4</v>
      </c>
      <c r="O144" s="622">
        <v>4</v>
      </c>
      <c r="P144" s="622">
        <v>4</v>
      </c>
      <c r="Q144" s="548">
        <f t="shared" si="54"/>
        <v>4</v>
      </c>
      <c r="R144" s="427"/>
      <c r="S144" s="428">
        <f t="shared" si="57"/>
        <v>3.4</v>
      </c>
    </row>
    <row r="145" spans="1:19" ht="33">
      <c r="A145" s="487"/>
      <c r="B145" s="549" t="s">
        <v>455</v>
      </c>
      <c r="C145" s="487" t="s">
        <v>438</v>
      </c>
      <c r="D145" s="482">
        <v>500</v>
      </c>
      <c r="E145" s="487"/>
      <c r="F145" s="622">
        <v>500</v>
      </c>
      <c r="G145" s="622">
        <v>500</v>
      </c>
      <c r="H145" s="622">
        <v>500</v>
      </c>
      <c r="I145" s="622">
        <v>500</v>
      </c>
      <c r="J145" s="417">
        <v>1000</v>
      </c>
      <c r="K145" s="581">
        <f t="shared" si="53"/>
        <v>1000</v>
      </c>
      <c r="L145" s="417">
        <v>1000</v>
      </c>
      <c r="M145" s="417">
        <v>1250</v>
      </c>
      <c r="N145" s="417">
        <v>1750</v>
      </c>
      <c r="O145" s="417">
        <v>1750</v>
      </c>
      <c r="P145" s="417">
        <v>1750</v>
      </c>
      <c r="Q145" s="596">
        <f t="shared" si="54"/>
        <v>1750</v>
      </c>
      <c r="R145" s="427"/>
      <c r="S145" s="428">
        <f t="shared" si="57"/>
        <v>1500</v>
      </c>
    </row>
    <row r="146" spans="1:19" ht="33">
      <c r="A146" s="487">
        <v>10</v>
      </c>
      <c r="B146" s="549" t="s">
        <v>97</v>
      </c>
      <c r="C146" s="487" t="s">
        <v>98</v>
      </c>
      <c r="D146" s="482">
        <v>12</v>
      </c>
      <c r="E146" s="487"/>
      <c r="F146" s="622">
        <v>16</v>
      </c>
      <c r="G146" s="622">
        <v>16</v>
      </c>
      <c r="H146" s="622">
        <v>20</v>
      </c>
      <c r="I146" s="622">
        <v>21</v>
      </c>
      <c r="J146" s="622">
        <v>24</v>
      </c>
      <c r="K146" s="581">
        <f t="shared" si="53"/>
        <v>24</v>
      </c>
      <c r="L146" s="543">
        <v>28</v>
      </c>
      <c r="M146" s="543">
        <v>32</v>
      </c>
      <c r="N146" s="543">
        <v>35</v>
      </c>
      <c r="O146" s="543">
        <v>38</v>
      </c>
      <c r="P146" s="543">
        <v>41</v>
      </c>
      <c r="Q146" s="548">
        <f>P146-J146</f>
        <v>17</v>
      </c>
      <c r="R146" s="427"/>
      <c r="S146" s="428">
        <f t="shared" si="57"/>
        <v>34.8</v>
      </c>
    </row>
    <row r="147" spans="1:19" ht="16.5">
      <c r="A147" s="487">
        <v>11</v>
      </c>
      <c r="B147" s="549" t="s">
        <v>99</v>
      </c>
      <c r="C147" s="487" t="s">
        <v>412</v>
      </c>
      <c r="D147" s="482">
        <v>200</v>
      </c>
      <c r="E147" s="487"/>
      <c r="F147" s="622">
        <v>500</v>
      </c>
      <c r="G147" s="622">
        <v>700</v>
      </c>
      <c r="H147" s="622">
        <v>800</v>
      </c>
      <c r="I147" s="622">
        <v>950</v>
      </c>
      <c r="J147" s="622">
        <v>950</v>
      </c>
      <c r="K147" s="631">
        <f>J147-D147</f>
        <v>750</v>
      </c>
      <c r="L147" s="622">
        <v>0</v>
      </c>
      <c r="M147" s="622">
        <v>0</v>
      </c>
      <c r="N147" s="622">
        <v>0</v>
      </c>
      <c r="O147" s="622">
        <v>0</v>
      </c>
      <c r="P147" s="622">
        <v>0</v>
      </c>
      <c r="Q147" s="631"/>
      <c r="R147" s="427"/>
      <c r="S147" s="428">
        <f t="shared" si="57"/>
        <v>0</v>
      </c>
    </row>
    <row r="148" spans="1:19" ht="38.25" customHeight="1">
      <c r="A148" s="487">
        <v>12</v>
      </c>
      <c r="B148" s="549" t="s">
        <v>100</v>
      </c>
      <c r="C148" s="487" t="s">
        <v>412</v>
      </c>
      <c r="D148" s="482">
        <v>650</v>
      </c>
      <c r="E148" s="482"/>
      <c r="F148" s="622">
        <v>801</v>
      </c>
      <c r="G148" s="622">
        <v>951</v>
      </c>
      <c r="H148" s="622">
        <v>951</v>
      </c>
      <c r="I148" s="622">
        <v>951</v>
      </c>
      <c r="J148" s="622">
        <v>951</v>
      </c>
      <c r="K148" s="631">
        <f>J148</f>
        <v>951</v>
      </c>
      <c r="L148" s="655">
        <v>1137</v>
      </c>
      <c r="M148" s="655">
        <v>1237</v>
      </c>
      <c r="N148" s="655">
        <v>1337</v>
      </c>
      <c r="O148" s="655">
        <v>1387</v>
      </c>
      <c r="P148" s="655">
        <v>1437</v>
      </c>
      <c r="Q148" s="548">
        <v>500</v>
      </c>
      <c r="R148" s="427"/>
      <c r="S148" s="428">
        <f t="shared" si="57"/>
        <v>1307</v>
      </c>
    </row>
    <row r="149" spans="1:19" ht="45.75" customHeight="1">
      <c r="A149" s="487"/>
      <c r="B149" s="549" t="s">
        <v>460</v>
      </c>
      <c r="C149" s="487" t="s">
        <v>120</v>
      </c>
      <c r="D149" s="472">
        <f>D148/D81*100</f>
        <v>16.905071521456435</v>
      </c>
      <c r="E149" s="472">
        <f aca="true" t="shared" si="58" ref="E149:Q149">E148/E81*100</f>
        <v>0</v>
      </c>
      <c r="F149" s="472">
        <f t="shared" si="58"/>
        <v>20.670967741935485</v>
      </c>
      <c r="G149" s="656">
        <f t="shared" si="58"/>
        <v>22.686068702290076</v>
      </c>
      <c r="H149" s="656">
        <f t="shared" si="58"/>
        <v>22.003701989819525</v>
      </c>
      <c r="I149" s="656">
        <f t="shared" si="58"/>
        <v>20.72346916539551</v>
      </c>
      <c r="J149" s="656">
        <f t="shared" si="58"/>
        <v>19.8125</v>
      </c>
      <c r="K149" s="657">
        <f t="shared" si="58"/>
        <v>21.833960877950222</v>
      </c>
      <c r="L149" s="656">
        <f t="shared" si="58"/>
        <v>24.803664921465966</v>
      </c>
      <c r="M149" s="656">
        <f t="shared" si="58"/>
        <v>27.103418054338302</v>
      </c>
      <c r="N149" s="656">
        <f t="shared" si="58"/>
        <v>29.592740150509073</v>
      </c>
      <c r="O149" s="656">
        <f t="shared" si="58"/>
        <v>30.297072957623417</v>
      </c>
      <c r="P149" s="656">
        <f t="shared" si="58"/>
        <v>30.996548748921484</v>
      </c>
      <c r="Q149" s="656">
        <f t="shared" si="58"/>
        <v>10.926573426573427</v>
      </c>
      <c r="R149" s="427"/>
      <c r="S149" s="428">
        <f t="shared" si="57"/>
        <v>28.55868896657165</v>
      </c>
    </row>
    <row r="150" spans="1:19" ht="33">
      <c r="A150" s="487">
        <v>13</v>
      </c>
      <c r="B150" s="549" t="s">
        <v>101</v>
      </c>
      <c r="C150" s="487" t="s">
        <v>452</v>
      </c>
      <c r="D150" s="417">
        <v>5000</v>
      </c>
      <c r="E150" s="417"/>
      <c r="F150" s="417">
        <v>6000</v>
      </c>
      <c r="G150" s="417">
        <v>6000</v>
      </c>
      <c r="H150" s="417">
        <v>6000</v>
      </c>
      <c r="I150" s="417">
        <v>6500</v>
      </c>
      <c r="J150" s="417">
        <v>7000</v>
      </c>
      <c r="K150" s="581">
        <f>SUM(F150:J150)/5</f>
        <v>6300</v>
      </c>
      <c r="L150" s="417">
        <v>8000</v>
      </c>
      <c r="M150" s="417">
        <v>8000</v>
      </c>
      <c r="N150" s="417">
        <v>9000</v>
      </c>
      <c r="O150" s="417">
        <v>9000</v>
      </c>
      <c r="P150" s="417">
        <v>10000</v>
      </c>
      <c r="Q150" s="596">
        <f>SUM(L150:P150)/5</f>
        <v>8800</v>
      </c>
      <c r="R150" s="427"/>
      <c r="S150" s="428">
        <f t="shared" si="57"/>
        <v>8800</v>
      </c>
    </row>
    <row r="151" spans="1:19" ht="16.5">
      <c r="A151" s="487">
        <v>14</v>
      </c>
      <c r="B151" s="549" t="s">
        <v>102</v>
      </c>
      <c r="C151" s="487" t="s">
        <v>120</v>
      </c>
      <c r="D151" s="482">
        <v>65</v>
      </c>
      <c r="E151" s="482">
        <v>65</v>
      </c>
      <c r="F151" s="482">
        <v>69</v>
      </c>
      <c r="G151" s="482">
        <v>72</v>
      </c>
      <c r="H151" s="482">
        <v>77</v>
      </c>
      <c r="I151" s="482">
        <v>80</v>
      </c>
      <c r="J151" s="482">
        <v>85</v>
      </c>
      <c r="K151" s="581">
        <f aca="true" t="shared" si="59" ref="K151:K157">J151-D151</f>
        <v>20</v>
      </c>
      <c r="L151" s="482">
        <v>86</v>
      </c>
      <c r="M151" s="482">
        <v>88</v>
      </c>
      <c r="N151" s="482">
        <v>90</v>
      </c>
      <c r="O151" s="482">
        <v>92</v>
      </c>
      <c r="P151" s="482">
        <v>95</v>
      </c>
      <c r="Q151" s="596">
        <f aca="true" t="shared" si="60" ref="Q151:Q156">P151-J151</f>
        <v>10</v>
      </c>
      <c r="S151" s="428">
        <f t="shared" si="57"/>
        <v>90.2</v>
      </c>
    </row>
    <row r="152" spans="1:19" ht="16.5">
      <c r="A152" s="487"/>
      <c r="B152" s="549" t="s">
        <v>103</v>
      </c>
      <c r="C152" s="487" t="s">
        <v>104</v>
      </c>
      <c r="D152" s="482">
        <v>49</v>
      </c>
      <c r="E152" s="482">
        <v>49</v>
      </c>
      <c r="F152" s="482">
        <v>55</v>
      </c>
      <c r="G152" s="482">
        <v>58</v>
      </c>
      <c r="H152" s="482">
        <v>62</v>
      </c>
      <c r="I152" s="482">
        <v>68</v>
      </c>
      <c r="J152" s="482">
        <v>75</v>
      </c>
      <c r="K152" s="581">
        <f t="shared" si="59"/>
        <v>26</v>
      </c>
      <c r="L152" s="482">
        <v>76</v>
      </c>
      <c r="M152" s="482">
        <v>78</v>
      </c>
      <c r="N152" s="482">
        <v>80</v>
      </c>
      <c r="O152" s="482">
        <v>82</v>
      </c>
      <c r="P152" s="482">
        <v>85</v>
      </c>
      <c r="Q152" s="596">
        <f t="shared" si="60"/>
        <v>10</v>
      </c>
      <c r="S152" s="428">
        <f t="shared" si="57"/>
        <v>80.2</v>
      </c>
    </row>
    <row r="153" spans="1:19" ht="33">
      <c r="A153" s="487">
        <v>15</v>
      </c>
      <c r="B153" s="549" t="s">
        <v>105</v>
      </c>
      <c r="C153" s="487" t="s">
        <v>120</v>
      </c>
      <c r="D153" s="482">
        <v>85</v>
      </c>
      <c r="E153" s="482">
        <v>85</v>
      </c>
      <c r="F153" s="482">
        <v>87</v>
      </c>
      <c r="G153" s="482">
        <v>90</v>
      </c>
      <c r="H153" s="482">
        <v>92</v>
      </c>
      <c r="I153" s="482">
        <v>93</v>
      </c>
      <c r="J153" s="482">
        <v>95</v>
      </c>
      <c r="K153" s="581">
        <f t="shared" si="59"/>
        <v>10</v>
      </c>
      <c r="L153" s="482">
        <v>96</v>
      </c>
      <c r="M153" s="482">
        <v>97</v>
      </c>
      <c r="N153" s="482">
        <v>99</v>
      </c>
      <c r="O153" s="482">
        <v>100</v>
      </c>
      <c r="P153" s="482">
        <v>100</v>
      </c>
      <c r="Q153" s="596">
        <f t="shared" si="60"/>
        <v>5</v>
      </c>
      <c r="S153" s="428">
        <f t="shared" si="57"/>
        <v>98.4</v>
      </c>
    </row>
    <row r="154" spans="1:19" ht="33">
      <c r="A154" s="487">
        <v>16</v>
      </c>
      <c r="B154" s="549" t="s">
        <v>106</v>
      </c>
      <c r="C154" s="487" t="s">
        <v>1</v>
      </c>
      <c r="D154" s="476">
        <v>92500</v>
      </c>
      <c r="E154" s="476">
        <v>92500</v>
      </c>
      <c r="F154" s="476">
        <v>97650</v>
      </c>
      <c r="G154" s="476">
        <v>102138.66</v>
      </c>
      <c r="H154" s="476">
        <v>106820</v>
      </c>
      <c r="I154" s="476">
        <v>123816</v>
      </c>
      <c r="J154" s="476">
        <v>127287.5</v>
      </c>
      <c r="K154" s="581">
        <f t="shared" si="59"/>
        <v>34787.5</v>
      </c>
      <c r="L154" s="476">
        <v>132327</v>
      </c>
      <c r="M154" s="476">
        <v>137460.5</v>
      </c>
      <c r="N154" s="476">
        <v>142688</v>
      </c>
      <c r="O154" s="476">
        <v>148009.5</v>
      </c>
      <c r="P154" s="476">
        <v>153425</v>
      </c>
      <c r="Q154" s="596">
        <f t="shared" si="60"/>
        <v>26137.5</v>
      </c>
      <c r="S154" s="428">
        <f t="shared" si="57"/>
        <v>142782</v>
      </c>
    </row>
    <row r="155" spans="1:19" ht="33">
      <c r="A155" s="487">
        <v>17</v>
      </c>
      <c r="B155" s="549" t="s">
        <v>107</v>
      </c>
      <c r="C155" s="487" t="s">
        <v>120</v>
      </c>
      <c r="D155" s="482">
        <v>70</v>
      </c>
      <c r="E155" s="482">
        <v>70</v>
      </c>
      <c r="F155" s="482">
        <v>75</v>
      </c>
      <c r="G155" s="482">
        <v>78</v>
      </c>
      <c r="H155" s="482">
        <v>80</v>
      </c>
      <c r="I155" s="482">
        <v>84</v>
      </c>
      <c r="J155" s="482">
        <v>85</v>
      </c>
      <c r="K155" s="581">
        <f t="shared" si="59"/>
        <v>15</v>
      </c>
      <c r="L155" s="482">
        <v>87</v>
      </c>
      <c r="M155" s="482">
        <v>89</v>
      </c>
      <c r="N155" s="482">
        <v>91</v>
      </c>
      <c r="O155" s="482">
        <v>93</v>
      </c>
      <c r="P155" s="482">
        <v>95</v>
      </c>
      <c r="Q155" s="596">
        <f t="shared" si="60"/>
        <v>10</v>
      </c>
      <c r="S155" s="428">
        <f t="shared" si="57"/>
        <v>91</v>
      </c>
    </row>
    <row r="156" spans="1:19" ht="33">
      <c r="A156" s="487">
        <v>18</v>
      </c>
      <c r="B156" s="549" t="s">
        <v>108</v>
      </c>
      <c r="C156" s="487" t="s">
        <v>120</v>
      </c>
      <c r="D156" s="482">
        <v>29</v>
      </c>
      <c r="E156" s="482">
        <v>29</v>
      </c>
      <c r="F156" s="482">
        <v>31</v>
      </c>
      <c r="G156" s="482">
        <v>34</v>
      </c>
      <c r="H156" s="482">
        <v>47</v>
      </c>
      <c r="I156" s="482">
        <v>50</v>
      </c>
      <c r="J156" s="482">
        <v>65</v>
      </c>
      <c r="K156" s="581">
        <f t="shared" si="59"/>
        <v>36</v>
      </c>
      <c r="L156" s="482">
        <v>67</v>
      </c>
      <c r="M156" s="482">
        <v>69</v>
      </c>
      <c r="N156" s="482">
        <v>71</v>
      </c>
      <c r="O156" s="482">
        <v>73</v>
      </c>
      <c r="P156" s="482">
        <v>75</v>
      </c>
      <c r="Q156" s="596">
        <f t="shared" si="60"/>
        <v>10</v>
      </c>
      <c r="S156" s="428">
        <f t="shared" si="57"/>
        <v>71</v>
      </c>
    </row>
    <row r="157" spans="1:19" ht="33">
      <c r="A157" s="658">
        <v>19</v>
      </c>
      <c r="B157" s="659" t="s">
        <v>109</v>
      </c>
      <c r="C157" s="658" t="s">
        <v>120</v>
      </c>
      <c r="D157" s="660">
        <v>0</v>
      </c>
      <c r="E157" s="660"/>
      <c r="F157" s="661">
        <v>0</v>
      </c>
      <c r="G157" s="661">
        <v>0</v>
      </c>
      <c r="H157" s="661">
        <f>1/92*100</f>
        <v>1.0869565217391304</v>
      </c>
      <c r="I157" s="661">
        <f>8/92*100</f>
        <v>8.695652173913043</v>
      </c>
      <c r="J157" s="661">
        <f>19/92*100</f>
        <v>20.652173913043477</v>
      </c>
      <c r="K157" s="662">
        <f t="shared" si="59"/>
        <v>20.652173913043477</v>
      </c>
      <c r="L157" s="661">
        <f>25/92*100</f>
        <v>27.173913043478258</v>
      </c>
      <c r="M157" s="661">
        <f>31/92*100</f>
        <v>33.69565217391305</v>
      </c>
      <c r="N157" s="661">
        <f>37/92*100</f>
        <v>40.21739130434783</v>
      </c>
      <c r="O157" s="661">
        <f>43/92*100</f>
        <v>46.73913043478261</v>
      </c>
      <c r="P157" s="661">
        <f>50/92*100</f>
        <v>54.347826086956516</v>
      </c>
      <c r="Q157" s="663">
        <f>P157</f>
        <v>54.347826086956516</v>
      </c>
      <c r="S157" s="428">
        <f t="shared" si="57"/>
        <v>40.43478260869565</v>
      </c>
    </row>
    <row r="158" spans="1:11" ht="16.5">
      <c r="A158" s="385"/>
      <c r="B158" s="386"/>
      <c r="C158" s="387"/>
      <c r="D158" s="387"/>
      <c r="E158" s="425"/>
      <c r="F158" s="426"/>
      <c r="G158" s="426"/>
      <c r="H158" s="426"/>
      <c r="I158" s="426"/>
      <c r="J158" s="426"/>
      <c r="K158" s="418"/>
    </row>
    <row r="159" spans="1:16" ht="16.5">
      <c r="A159" s="385"/>
      <c r="B159" s="386"/>
      <c r="C159" s="387"/>
      <c r="D159" s="387"/>
      <c r="E159" s="425"/>
      <c r="F159" s="426"/>
      <c r="G159" s="426"/>
      <c r="H159" s="426"/>
      <c r="I159" s="426"/>
      <c r="J159" s="426"/>
      <c r="K159" s="529"/>
      <c r="L159" s="530"/>
      <c r="M159" s="530"/>
      <c r="N159" s="530"/>
      <c r="O159" s="530"/>
      <c r="P159" s="531"/>
    </row>
    <row r="160" spans="1:16" ht="16.5">
      <c r="A160" s="385"/>
      <c r="B160" s="386"/>
      <c r="C160" s="387"/>
      <c r="D160" s="387"/>
      <c r="E160" s="425"/>
      <c r="F160" s="426"/>
      <c r="G160" s="426"/>
      <c r="H160" s="426"/>
      <c r="I160" s="426"/>
      <c r="J160" s="426"/>
      <c r="K160" s="532"/>
      <c r="L160" s="533"/>
      <c r="M160" s="533"/>
      <c r="N160" s="533"/>
      <c r="O160" s="533"/>
      <c r="P160" s="533"/>
    </row>
    <row r="161" spans="1:17" ht="16.5">
      <c r="A161" s="385"/>
      <c r="B161" s="386"/>
      <c r="C161" s="387"/>
      <c r="D161" s="387"/>
      <c r="E161" s="425"/>
      <c r="F161" s="426"/>
      <c r="G161" s="426"/>
      <c r="H161" s="426"/>
      <c r="I161" s="426"/>
      <c r="J161" s="426"/>
      <c r="K161" s="418"/>
      <c r="Q161" s="364"/>
    </row>
    <row r="162" spans="1:11" ht="16.5">
      <c r="A162" s="385"/>
      <c r="B162" s="386"/>
      <c r="C162" s="387"/>
      <c r="D162" s="387"/>
      <c r="E162" s="425"/>
      <c r="F162" s="426"/>
      <c r="G162" s="426"/>
      <c r="H162" s="426"/>
      <c r="I162" s="426"/>
      <c r="J162" s="426"/>
      <c r="K162" s="418"/>
    </row>
    <row r="163" spans="1:11" ht="16.5">
      <c r="A163" s="385"/>
      <c r="B163" s="386"/>
      <c r="C163" s="387"/>
      <c r="D163" s="387"/>
      <c r="E163" s="425"/>
      <c r="F163" s="426"/>
      <c r="G163" s="426"/>
      <c r="H163" s="426"/>
      <c r="I163" s="426"/>
      <c r="J163" s="426"/>
      <c r="K163" s="418"/>
    </row>
  </sheetData>
  <sheetProtection/>
  <mergeCells count="3">
    <mergeCell ref="A1:Q1"/>
    <mergeCell ref="A2:Q2"/>
    <mergeCell ref="A3:Q3"/>
  </mergeCells>
  <printOptions/>
  <pageMargins left="0.25" right="0" top="0.5" bottom="0.5" header="0.25" footer="0.25"/>
  <pageSetup horizontalDpi="600" verticalDpi="600" orientation="landscape" paperSize="9" scale="60" r:id="rId3"/>
  <headerFooter alignWithMargins="0">
    <oddFooter>&amp;C&amp;P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V54"/>
  <sheetViews>
    <sheetView zoomScalePageLayoutView="0" workbookViewId="0" topLeftCell="A1">
      <selection activeCell="C40" sqref="C40"/>
    </sheetView>
  </sheetViews>
  <sheetFormatPr defaultColWidth="9.140625" defaultRowHeight="15" customHeight="1"/>
  <cols>
    <col min="1" max="1" width="6.8515625" style="207" customWidth="1"/>
    <col min="2" max="2" width="5.421875" style="207" customWidth="1"/>
    <col min="3" max="3" width="41.421875" style="206" customWidth="1"/>
    <col min="4" max="9" width="8.8515625" style="206" hidden="1" customWidth="1"/>
    <col min="10" max="15" width="14.421875" style="206" customWidth="1"/>
    <col min="16" max="18" width="9.140625" style="206" customWidth="1"/>
    <col min="19" max="19" width="11.57421875" style="206" bestFit="1" customWidth="1"/>
    <col min="20" max="16384" width="9.140625" style="206" customWidth="1"/>
  </cols>
  <sheetData>
    <row r="1" spans="1:15" ht="23.25" customHeight="1">
      <c r="A1" s="829" t="s">
        <v>391</v>
      </c>
      <c r="B1" s="829"/>
      <c r="C1" s="829"/>
      <c r="D1" s="829"/>
      <c r="E1" s="829"/>
      <c r="F1" s="829"/>
      <c r="G1" s="829"/>
      <c r="H1" s="829"/>
      <c r="I1" s="829"/>
      <c r="J1" s="829"/>
      <c r="K1" s="829"/>
      <c r="L1" s="829"/>
      <c r="M1" s="829"/>
      <c r="N1" s="829"/>
      <c r="O1" s="829"/>
    </row>
    <row r="2" spans="1:15" ht="49.5" customHeight="1">
      <c r="A2" s="830" t="s">
        <v>395</v>
      </c>
      <c r="B2" s="830"/>
      <c r="C2" s="830"/>
      <c r="D2" s="830"/>
      <c r="E2" s="830"/>
      <c r="F2" s="830"/>
      <c r="G2" s="830"/>
      <c r="H2" s="830"/>
      <c r="I2" s="830"/>
      <c r="J2" s="830"/>
      <c r="K2" s="830"/>
      <c r="L2" s="830"/>
      <c r="M2" s="830"/>
      <c r="N2" s="830"/>
      <c r="O2" s="830"/>
    </row>
    <row r="3" spans="1:15" ht="15" customHeight="1">
      <c r="A3" s="831"/>
      <c r="B3" s="831"/>
      <c r="C3" s="831"/>
      <c r="D3" s="831"/>
      <c r="E3" s="831"/>
      <c r="F3" s="831"/>
      <c r="G3" s="831"/>
      <c r="H3" s="831"/>
      <c r="I3" s="831"/>
      <c r="J3" s="831"/>
      <c r="K3" s="831"/>
      <c r="L3" s="831"/>
      <c r="M3" s="831"/>
      <c r="N3" s="831"/>
      <c r="O3" s="831"/>
    </row>
    <row r="4" spans="3:15" ht="21" customHeight="1">
      <c r="C4" s="208"/>
      <c r="D4" s="208"/>
      <c r="E4" s="208"/>
      <c r="F4" s="208"/>
      <c r="G4" s="208"/>
      <c r="H4" s="208"/>
      <c r="I4" s="208"/>
      <c r="J4" s="208"/>
      <c r="K4" s="208"/>
      <c r="L4" s="209"/>
      <c r="M4" s="832" t="s">
        <v>397</v>
      </c>
      <c r="N4" s="832"/>
      <c r="O4" s="832"/>
    </row>
    <row r="5" spans="1:15" s="212" customFormat="1" ht="38.25" customHeight="1">
      <c r="A5" s="210" t="s">
        <v>115</v>
      </c>
      <c r="B5" s="816" t="s">
        <v>390</v>
      </c>
      <c r="C5" s="817"/>
      <c r="D5" s="210">
        <v>2000</v>
      </c>
      <c r="E5" s="210">
        <v>2001</v>
      </c>
      <c r="F5" s="210">
        <v>2002</v>
      </c>
      <c r="G5" s="210">
        <v>2003</v>
      </c>
      <c r="H5" s="210">
        <v>2004</v>
      </c>
      <c r="I5" s="210">
        <v>2005</v>
      </c>
      <c r="J5" s="210" t="s">
        <v>389</v>
      </c>
      <c r="K5" s="210">
        <v>2011</v>
      </c>
      <c r="L5" s="211">
        <v>2012</v>
      </c>
      <c r="M5" s="210">
        <v>2013</v>
      </c>
      <c r="N5" s="211">
        <v>2014</v>
      </c>
      <c r="O5" s="210">
        <v>2015</v>
      </c>
    </row>
    <row r="6" spans="1:15" s="212" customFormat="1" ht="27" customHeight="1">
      <c r="A6" s="213"/>
      <c r="B6" s="818" t="s">
        <v>328</v>
      </c>
      <c r="C6" s="819"/>
      <c r="D6" s="214"/>
      <c r="E6" s="214"/>
      <c r="F6" s="214"/>
      <c r="G6" s="214"/>
      <c r="H6" s="214"/>
      <c r="I6" s="214"/>
      <c r="J6" s="343" t="e">
        <f>+K6+L6+M6+N6+O6</f>
        <v>#REF!</v>
      </c>
      <c r="K6" s="215" t="e">
        <f>+K8+K10+K23</f>
        <v>#REF!</v>
      </c>
      <c r="L6" s="215" t="e">
        <f>+L8+L10+L23</f>
        <v>#REF!</v>
      </c>
      <c r="M6" s="215" t="e">
        <f>+M8+M10+M23</f>
        <v>#REF!</v>
      </c>
      <c r="N6" s="215" t="e">
        <f>+N8+N10+N23</f>
        <v>#REF!</v>
      </c>
      <c r="O6" s="215" t="e">
        <f>+O8+O10+O23</f>
        <v>#REF!</v>
      </c>
    </row>
    <row r="7" spans="1:22" ht="30" customHeight="1" hidden="1">
      <c r="A7" s="216"/>
      <c r="B7" s="825"/>
      <c r="C7" s="826"/>
      <c r="D7" s="344"/>
      <c r="E7" s="345"/>
      <c r="F7" s="345"/>
      <c r="G7" s="345"/>
      <c r="H7" s="345"/>
      <c r="I7" s="345"/>
      <c r="J7" s="346" t="e">
        <f aca="true" t="shared" si="0" ref="J7:O7">+J9+J14+J16+J18+J20+J22+J27+J29+J31+J33+J35+J37+J39+J41+J43+J45+J47+J49+J51</f>
        <v>#REF!</v>
      </c>
      <c r="K7" s="346" t="e">
        <f t="shared" si="0"/>
        <v>#REF!</v>
      </c>
      <c r="L7" s="346" t="e">
        <f t="shared" si="0"/>
        <v>#REF!</v>
      </c>
      <c r="M7" s="347" t="e">
        <f t="shared" si="0"/>
        <v>#REF!</v>
      </c>
      <c r="N7" s="346" t="e">
        <f t="shared" si="0"/>
        <v>#REF!</v>
      </c>
      <c r="O7" s="346" t="e">
        <f t="shared" si="0"/>
        <v>#REF!</v>
      </c>
      <c r="P7" s="217"/>
      <c r="Q7" s="218"/>
      <c r="S7" s="219"/>
      <c r="T7" s="218"/>
      <c r="V7" s="219"/>
    </row>
    <row r="8" spans="1:22" ht="18" customHeight="1">
      <c r="A8" s="216">
        <v>1</v>
      </c>
      <c r="B8" s="827" t="s">
        <v>329</v>
      </c>
      <c r="C8" s="828"/>
      <c r="D8" s="348" t="e">
        <f>+#REF!+#REF!</f>
        <v>#REF!</v>
      </c>
      <c r="E8" s="349" t="e">
        <f>+#REF!+#REF!</f>
        <v>#REF!</v>
      </c>
      <c r="F8" s="349" t="e">
        <f>+#REF!+#REF!</f>
        <v>#REF!</v>
      </c>
      <c r="G8" s="349" t="e">
        <f>+#REF!+#REF!</f>
        <v>#REF!</v>
      </c>
      <c r="H8" s="349" t="e">
        <f>+#REF!+#REF!</f>
        <v>#REF!</v>
      </c>
      <c r="I8" s="349" t="e">
        <f>+#REF!+#REF!</f>
        <v>#REF!</v>
      </c>
      <c r="J8" s="350" t="e">
        <f>+K8+L8+M8+N8+O8</f>
        <v>#REF!</v>
      </c>
      <c r="K8" s="350" t="e">
        <f>+K$54*K9/100</f>
        <v>#REF!</v>
      </c>
      <c r="L8" s="350" t="e">
        <f>+L$54*L9/100</f>
        <v>#REF!</v>
      </c>
      <c r="M8" s="351" t="e">
        <f>+M$54*M9/100</f>
        <v>#REF!</v>
      </c>
      <c r="N8" s="350" t="e">
        <f>+N$54*N9/100</f>
        <v>#REF!</v>
      </c>
      <c r="O8" s="350" t="e">
        <f>+O$54*O9/100</f>
        <v>#REF!</v>
      </c>
      <c r="P8" s="219"/>
      <c r="Q8" s="218"/>
      <c r="S8" s="219"/>
      <c r="T8" s="218"/>
      <c r="V8" s="219"/>
    </row>
    <row r="9" spans="1:22" s="223" customFormat="1" ht="18" customHeight="1">
      <c r="A9" s="220"/>
      <c r="B9" s="822" t="s">
        <v>330</v>
      </c>
      <c r="C9" s="815"/>
      <c r="D9" s="352"/>
      <c r="E9" s="353"/>
      <c r="F9" s="353"/>
      <c r="G9" s="353"/>
      <c r="H9" s="353"/>
      <c r="I9" s="353"/>
      <c r="J9" s="354">
        <v>6.2</v>
      </c>
      <c r="K9" s="354">
        <v>6.2</v>
      </c>
      <c r="L9" s="354">
        <v>6.2</v>
      </c>
      <c r="M9" s="355">
        <v>6.2</v>
      </c>
      <c r="N9" s="354">
        <v>6.2</v>
      </c>
      <c r="O9" s="354">
        <v>6.2</v>
      </c>
      <c r="P9" s="221"/>
      <c r="Q9" s="222"/>
      <c r="S9" s="221"/>
      <c r="T9" s="222"/>
      <c r="V9" s="221"/>
    </row>
    <row r="10" spans="1:22" ht="18" customHeight="1">
      <c r="A10" s="216">
        <v>2</v>
      </c>
      <c r="B10" s="827" t="s">
        <v>331</v>
      </c>
      <c r="C10" s="828"/>
      <c r="D10" s="348"/>
      <c r="E10" s="349"/>
      <c r="F10" s="349"/>
      <c r="G10" s="349"/>
      <c r="H10" s="349"/>
      <c r="I10" s="349"/>
      <c r="J10" s="350" t="e">
        <f>+J13+J15+J17+J19+J21</f>
        <v>#REF!</v>
      </c>
      <c r="K10" s="350" t="e">
        <f aca="true" t="shared" si="1" ref="K10:O11">+K13+K15+K17+K19+K21</f>
        <v>#REF!</v>
      </c>
      <c r="L10" s="350" t="e">
        <f t="shared" si="1"/>
        <v>#REF!</v>
      </c>
      <c r="M10" s="351" t="e">
        <f t="shared" si="1"/>
        <v>#REF!</v>
      </c>
      <c r="N10" s="350" t="e">
        <f t="shared" si="1"/>
        <v>#REF!</v>
      </c>
      <c r="O10" s="350" t="e">
        <f t="shared" si="1"/>
        <v>#REF!</v>
      </c>
      <c r="P10" s="219"/>
      <c r="Q10" s="218"/>
      <c r="S10" s="219"/>
      <c r="T10" s="218"/>
      <c r="V10" s="219"/>
    </row>
    <row r="11" spans="1:15" s="223" customFormat="1" ht="18" customHeight="1">
      <c r="A11" s="220"/>
      <c r="B11" s="814" t="s">
        <v>330</v>
      </c>
      <c r="C11" s="815"/>
      <c r="D11" s="353"/>
      <c r="E11" s="353"/>
      <c r="F11" s="353"/>
      <c r="G11" s="353"/>
      <c r="H11" s="353"/>
      <c r="I11" s="353"/>
      <c r="J11" s="354" t="e">
        <f>+J14+J16+J18+J20+J22</f>
        <v>#REF!</v>
      </c>
      <c r="K11" s="354">
        <f t="shared" si="1"/>
        <v>41.8</v>
      </c>
      <c r="L11" s="354">
        <f t="shared" si="1"/>
        <v>42.5</v>
      </c>
      <c r="M11" s="354">
        <f t="shared" si="1"/>
        <v>43.3</v>
      </c>
      <c r="N11" s="354">
        <f t="shared" si="1"/>
        <v>44.00000000000001</v>
      </c>
      <c r="O11" s="354">
        <f t="shared" si="1"/>
        <v>44.800000000000004</v>
      </c>
    </row>
    <row r="12" spans="1:15" s="223" customFormat="1" ht="18" customHeight="1">
      <c r="A12" s="220"/>
      <c r="B12" s="814" t="s">
        <v>327</v>
      </c>
      <c r="C12" s="815"/>
      <c r="D12" s="353"/>
      <c r="E12" s="353"/>
      <c r="F12" s="353"/>
      <c r="G12" s="353"/>
      <c r="H12" s="353"/>
      <c r="I12" s="353"/>
      <c r="J12" s="354"/>
      <c r="K12" s="354"/>
      <c r="L12" s="354"/>
      <c r="M12" s="354"/>
      <c r="N12" s="354"/>
      <c r="O12" s="354"/>
    </row>
    <row r="13" spans="1:15" ht="27" customHeight="1">
      <c r="A13" s="224"/>
      <c r="B13" s="225"/>
      <c r="C13" s="226" t="s">
        <v>333</v>
      </c>
      <c r="D13" s="227">
        <v>9588</v>
      </c>
      <c r="E13" s="227">
        <v>8141.1</v>
      </c>
      <c r="F13" s="227">
        <v>7964</v>
      </c>
      <c r="G13" s="227">
        <v>11342</v>
      </c>
      <c r="H13" s="227">
        <v>22477</v>
      </c>
      <c r="I13" s="227">
        <v>26862</v>
      </c>
      <c r="J13" s="237" t="e">
        <f>+K13+L13+M13+N13+O13</f>
        <v>#REF!</v>
      </c>
      <c r="K13" s="237" t="e">
        <f>+K$54*K14/100</f>
        <v>#REF!</v>
      </c>
      <c r="L13" s="237" t="e">
        <f>+L$54*L14/100</f>
        <v>#REF!</v>
      </c>
      <c r="M13" s="237" t="e">
        <f>+M$54*M14/100</f>
        <v>#REF!</v>
      </c>
      <c r="N13" s="237" t="e">
        <f>+N$54*N14/100</f>
        <v>#REF!</v>
      </c>
      <c r="O13" s="237" t="e">
        <f>+O$54*O14/100</f>
        <v>#REF!</v>
      </c>
    </row>
    <row r="14" spans="1:15" s="223" customFormat="1" ht="26.25" customHeight="1">
      <c r="A14" s="228"/>
      <c r="B14" s="229"/>
      <c r="C14" s="230" t="s">
        <v>330</v>
      </c>
      <c r="D14" s="356"/>
      <c r="E14" s="356"/>
      <c r="F14" s="356"/>
      <c r="G14" s="356"/>
      <c r="H14" s="356"/>
      <c r="I14" s="356"/>
      <c r="J14" s="357" t="e">
        <f>100*J13/J$54</f>
        <v>#REF!</v>
      </c>
      <c r="K14" s="357">
        <v>8.2</v>
      </c>
      <c r="L14" s="357">
        <v>7.8</v>
      </c>
      <c r="M14" s="357">
        <v>7.4</v>
      </c>
      <c r="N14" s="357">
        <v>7</v>
      </c>
      <c r="O14" s="357">
        <v>6.6</v>
      </c>
    </row>
    <row r="15" spans="1:19" ht="25.5" customHeight="1">
      <c r="A15" s="224"/>
      <c r="B15" s="225"/>
      <c r="C15" s="226" t="s">
        <v>334</v>
      </c>
      <c r="D15" s="227">
        <v>29172</v>
      </c>
      <c r="E15" s="227">
        <v>38140.5</v>
      </c>
      <c r="F15" s="227">
        <v>45337</v>
      </c>
      <c r="G15" s="227">
        <v>51060</v>
      </c>
      <c r="H15" s="227">
        <v>58715</v>
      </c>
      <c r="I15" s="227">
        <v>68297</v>
      </c>
      <c r="J15" s="237" t="e">
        <f>+K15+L15+M15+N15+O15</f>
        <v>#REF!</v>
      </c>
      <c r="K15" s="237" t="e">
        <f>+K$54*K16/100</f>
        <v>#REF!</v>
      </c>
      <c r="L15" s="237" t="e">
        <f>+L$54*L16/100</f>
        <v>#REF!</v>
      </c>
      <c r="M15" s="237" t="e">
        <f>+M$54*M16/100</f>
        <v>#REF!</v>
      </c>
      <c r="N15" s="237" t="e">
        <f>+N$54*N16/100</f>
        <v>#REF!</v>
      </c>
      <c r="O15" s="237" t="e">
        <f>+O$54*O16/100</f>
        <v>#REF!</v>
      </c>
      <c r="R15" s="206">
        <v>43550</v>
      </c>
      <c r="S15" s="231" t="e">
        <f>+L17+L19</f>
        <v>#REF!</v>
      </c>
    </row>
    <row r="16" spans="1:15" s="223" customFormat="1" ht="24" customHeight="1">
      <c r="A16" s="228"/>
      <c r="B16" s="229"/>
      <c r="C16" s="230" t="s">
        <v>330</v>
      </c>
      <c r="D16" s="356"/>
      <c r="E16" s="356"/>
      <c r="F16" s="356"/>
      <c r="G16" s="356"/>
      <c r="H16" s="356"/>
      <c r="I16" s="356"/>
      <c r="J16" s="357" t="e">
        <f>100*J15/J$54</f>
        <v>#REF!</v>
      </c>
      <c r="K16" s="357">
        <v>17.5</v>
      </c>
      <c r="L16" s="357">
        <v>18</v>
      </c>
      <c r="M16" s="357">
        <v>18.5</v>
      </c>
      <c r="N16" s="357">
        <v>19</v>
      </c>
      <c r="O16" s="357">
        <v>19.5</v>
      </c>
    </row>
    <row r="17" spans="1:19" ht="39" customHeight="1">
      <c r="A17" s="224"/>
      <c r="B17" s="225"/>
      <c r="C17" s="226" t="s">
        <v>335</v>
      </c>
      <c r="D17" s="227">
        <v>16983</v>
      </c>
      <c r="E17" s="227">
        <v>16921.6</v>
      </c>
      <c r="F17" s="227">
        <v>20943</v>
      </c>
      <c r="G17" s="227">
        <v>24884</v>
      </c>
      <c r="H17" s="227">
        <v>31983</v>
      </c>
      <c r="I17" s="227">
        <v>37743</v>
      </c>
      <c r="J17" s="237" t="e">
        <f>+K17+L17+M17+N17+O17</f>
        <v>#REF!</v>
      </c>
      <c r="K17" s="237" t="e">
        <f>+K$54*K18/100</f>
        <v>#REF!</v>
      </c>
      <c r="L17" s="237" t="e">
        <f>+L$54*L18/100</f>
        <v>#REF!</v>
      </c>
      <c r="M17" s="237" t="e">
        <f>+M$54*M18/100</f>
        <v>#REF!</v>
      </c>
      <c r="N17" s="237" t="e">
        <f>+N$54*N18/100</f>
        <v>#REF!</v>
      </c>
      <c r="O17" s="237" t="e">
        <f>+O$54*O18/100</f>
        <v>#REF!</v>
      </c>
      <c r="S17" s="206" t="e">
        <f>+L17/S15</f>
        <v>#REF!</v>
      </c>
    </row>
    <row r="18" spans="1:15" s="223" customFormat="1" ht="22.5" customHeight="1">
      <c r="A18" s="228"/>
      <c r="B18" s="229"/>
      <c r="C18" s="230" t="s">
        <v>330</v>
      </c>
      <c r="D18" s="356"/>
      <c r="E18" s="356"/>
      <c r="F18" s="356"/>
      <c r="G18" s="356"/>
      <c r="H18" s="356"/>
      <c r="I18" s="356"/>
      <c r="J18" s="357" t="e">
        <f>100*J17/J$54</f>
        <v>#REF!</v>
      </c>
      <c r="K18" s="357">
        <v>9.5</v>
      </c>
      <c r="L18" s="357">
        <v>9.7</v>
      </c>
      <c r="M18" s="357">
        <v>10</v>
      </c>
      <c r="N18" s="357">
        <v>10.2</v>
      </c>
      <c r="O18" s="357">
        <v>10.5</v>
      </c>
    </row>
    <row r="19" spans="1:19" ht="36.75" customHeight="1">
      <c r="A19" s="224"/>
      <c r="B19" s="225"/>
      <c r="C19" s="226" t="s">
        <v>336</v>
      </c>
      <c r="D19" s="227"/>
      <c r="E19" s="227"/>
      <c r="F19" s="227"/>
      <c r="G19" s="227"/>
      <c r="H19" s="227"/>
      <c r="I19" s="227"/>
      <c r="J19" s="237" t="e">
        <f>+K19+L19+M19+N19+O19</f>
        <v>#REF!</v>
      </c>
      <c r="K19" s="237" t="e">
        <f>+K$54*K20/100</f>
        <v>#REF!</v>
      </c>
      <c r="L19" s="237" t="e">
        <f>+L$54*L20/100</f>
        <v>#REF!</v>
      </c>
      <c r="M19" s="237" t="e">
        <f>+M$54*M20/100</f>
        <v>#REF!</v>
      </c>
      <c r="N19" s="237" t="e">
        <f>+N$54*N20/100</f>
        <v>#REF!</v>
      </c>
      <c r="O19" s="237" t="e">
        <f>+O$54*O20/100</f>
        <v>#REF!</v>
      </c>
      <c r="S19" s="206" t="e">
        <f>+L19/S15</f>
        <v>#REF!</v>
      </c>
    </row>
    <row r="20" spans="1:15" s="223" customFormat="1" ht="18" customHeight="1">
      <c r="A20" s="228"/>
      <c r="B20" s="229"/>
      <c r="C20" s="230" t="s">
        <v>330</v>
      </c>
      <c r="D20" s="356"/>
      <c r="E20" s="356"/>
      <c r="F20" s="356"/>
      <c r="G20" s="356"/>
      <c r="H20" s="356"/>
      <c r="I20" s="356"/>
      <c r="J20" s="357" t="e">
        <f>100*J19/J$54</f>
        <v>#REF!</v>
      </c>
      <c r="K20" s="357">
        <v>2.8</v>
      </c>
      <c r="L20" s="357">
        <v>2.9</v>
      </c>
      <c r="M20" s="357">
        <v>3</v>
      </c>
      <c r="N20" s="357">
        <v>3.1</v>
      </c>
      <c r="O20" s="357">
        <v>3.2</v>
      </c>
    </row>
    <row r="21" spans="1:15" ht="24.75" customHeight="1">
      <c r="A21" s="224"/>
      <c r="B21" s="225"/>
      <c r="C21" s="226" t="s">
        <v>337</v>
      </c>
      <c r="D21" s="227">
        <v>3563</v>
      </c>
      <c r="E21" s="227">
        <v>9045.8</v>
      </c>
      <c r="F21" s="227">
        <v>10490</v>
      </c>
      <c r="G21" s="227">
        <v>11508</v>
      </c>
      <c r="H21" s="227">
        <v>11197</v>
      </c>
      <c r="I21" s="227">
        <v>13202</v>
      </c>
      <c r="J21" s="237" t="e">
        <f>+K21+L21+M21+N21+O21</f>
        <v>#REF!</v>
      </c>
      <c r="K21" s="237" t="e">
        <f>+K$54*K22/100</f>
        <v>#REF!</v>
      </c>
      <c r="L21" s="237" t="e">
        <f>+L$54*L22/100</f>
        <v>#REF!</v>
      </c>
      <c r="M21" s="237" t="e">
        <f>+M$54*M22/100</f>
        <v>#REF!</v>
      </c>
      <c r="N21" s="237" t="e">
        <f>+N$54*N22/100</f>
        <v>#REF!</v>
      </c>
      <c r="O21" s="237" t="e">
        <f>+O$54*O22/100</f>
        <v>#REF!</v>
      </c>
    </row>
    <row r="22" spans="1:22" s="223" customFormat="1" ht="21" customHeight="1">
      <c r="A22" s="220"/>
      <c r="B22" s="232"/>
      <c r="C22" s="230" t="s">
        <v>330</v>
      </c>
      <c r="D22" s="352"/>
      <c r="E22" s="353"/>
      <c r="F22" s="353"/>
      <c r="G22" s="353"/>
      <c r="H22" s="353"/>
      <c r="I22" s="353"/>
      <c r="J22" s="358" t="e">
        <f>100*J21/J$54</f>
        <v>#REF!</v>
      </c>
      <c r="K22" s="354">
        <v>3.8</v>
      </c>
      <c r="L22" s="354">
        <v>4.1</v>
      </c>
      <c r="M22" s="355">
        <v>4.4</v>
      </c>
      <c r="N22" s="354">
        <v>4.7</v>
      </c>
      <c r="O22" s="354">
        <v>5</v>
      </c>
      <c r="P22" s="221"/>
      <c r="Q22" s="222"/>
      <c r="S22" s="221"/>
      <c r="T22" s="222"/>
      <c r="V22" s="221"/>
    </row>
    <row r="23" spans="1:20" s="223" customFormat="1" ht="23.25" customHeight="1">
      <c r="A23" s="224">
        <v>3</v>
      </c>
      <c r="B23" s="820" t="s">
        <v>262</v>
      </c>
      <c r="C23" s="821"/>
      <c r="D23" s="352"/>
      <c r="E23" s="353"/>
      <c r="F23" s="353"/>
      <c r="G23" s="353"/>
      <c r="H23" s="353"/>
      <c r="I23" s="353"/>
      <c r="J23" s="359" t="e">
        <f aca="true" t="shared" si="2" ref="J23:O24">+J26+J28+J30+J32+J34+J36+J38+J40+J44+J46+J50</f>
        <v>#REF!</v>
      </c>
      <c r="K23" s="350" t="e">
        <f t="shared" si="2"/>
        <v>#REF!</v>
      </c>
      <c r="L23" s="350" t="e">
        <f t="shared" si="2"/>
        <v>#REF!</v>
      </c>
      <c r="M23" s="351" t="e">
        <f t="shared" si="2"/>
        <v>#REF!</v>
      </c>
      <c r="N23" s="350" t="e">
        <f t="shared" si="2"/>
        <v>#REF!</v>
      </c>
      <c r="O23" s="350" t="e">
        <f t="shared" si="2"/>
        <v>#REF!</v>
      </c>
      <c r="P23" s="221"/>
      <c r="Q23" s="222"/>
      <c r="S23" s="221"/>
      <c r="T23" s="222"/>
    </row>
    <row r="24" spans="1:22" s="223" customFormat="1" ht="18" customHeight="1">
      <c r="A24" s="228"/>
      <c r="B24" s="822" t="s">
        <v>330</v>
      </c>
      <c r="C24" s="815"/>
      <c r="D24" s="352"/>
      <c r="E24" s="353"/>
      <c r="F24" s="353"/>
      <c r="G24" s="353"/>
      <c r="H24" s="353"/>
      <c r="I24" s="353"/>
      <c r="J24" s="358" t="e">
        <f t="shared" si="2"/>
        <v>#REF!</v>
      </c>
      <c r="K24" s="354" t="e">
        <f t="shared" si="2"/>
        <v>#REF!</v>
      </c>
      <c r="L24" s="354" t="e">
        <f t="shared" si="2"/>
        <v>#REF!</v>
      </c>
      <c r="M24" s="355" t="e">
        <f t="shared" si="2"/>
        <v>#REF!</v>
      </c>
      <c r="N24" s="354" t="e">
        <f t="shared" si="2"/>
        <v>#REF!</v>
      </c>
      <c r="O24" s="354" t="e">
        <f t="shared" si="2"/>
        <v>#REF!</v>
      </c>
      <c r="P24" s="221"/>
      <c r="Q24" s="222"/>
      <c r="S24" s="221"/>
      <c r="T24" s="222"/>
      <c r="V24" s="221"/>
    </row>
    <row r="25" spans="1:20" s="223" customFormat="1" ht="18" customHeight="1">
      <c r="A25" s="228"/>
      <c r="B25" s="823" t="s">
        <v>332</v>
      </c>
      <c r="C25" s="824"/>
      <c r="D25" s="353"/>
      <c r="E25" s="353"/>
      <c r="F25" s="353"/>
      <c r="G25" s="353"/>
      <c r="H25" s="353"/>
      <c r="I25" s="353"/>
      <c r="J25" s="354"/>
      <c r="K25" s="354"/>
      <c r="L25" s="354"/>
      <c r="M25" s="355"/>
      <c r="N25" s="354"/>
      <c r="O25" s="354"/>
      <c r="P25" s="221"/>
      <c r="Q25" s="222"/>
      <c r="S25" s="221"/>
      <c r="T25" s="222"/>
    </row>
    <row r="26" spans="1:22" ht="36" customHeight="1">
      <c r="A26" s="224"/>
      <c r="B26" s="233"/>
      <c r="C26" s="226" t="s">
        <v>338</v>
      </c>
      <c r="D26" s="234">
        <v>3035</v>
      </c>
      <c r="E26" s="227">
        <v>7953</v>
      </c>
      <c r="F26" s="227">
        <v>11962</v>
      </c>
      <c r="G26" s="227">
        <v>14763</v>
      </c>
      <c r="H26" s="227">
        <v>15659</v>
      </c>
      <c r="I26" s="227">
        <v>18359</v>
      </c>
      <c r="J26" s="237" t="e">
        <f>+K26+L26+M26+N26+O26</f>
        <v>#REF!</v>
      </c>
      <c r="K26" s="237" t="e">
        <f>+K$54*K27/100</f>
        <v>#REF!</v>
      </c>
      <c r="L26" s="237" t="e">
        <f>+L$54*L27/100</f>
        <v>#REF!</v>
      </c>
      <c r="M26" s="360" t="e">
        <f>+M$54*M27/100</f>
        <v>#REF!</v>
      </c>
      <c r="N26" s="237" t="e">
        <f>+N$54*N27/100</f>
        <v>#REF!</v>
      </c>
      <c r="O26" s="237" t="e">
        <f>+O$54*O27/100</f>
        <v>#REF!</v>
      </c>
      <c r="P26" s="219"/>
      <c r="Q26" s="218"/>
      <c r="R26" s="206">
        <v>58410</v>
      </c>
      <c r="S26" s="235" t="e">
        <f>+L28+L32</f>
        <v>#REF!</v>
      </c>
      <c r="T26" s="218"/>
      <c r="V26" s="219"/>
    </row>
    <row r="27" spans="1:15" s="223" customFormat="1" ht="18" customHeight="1">
      <c r="A27" s="228"/>
      <c r="B27" s="229"/>
      <c r="C27" s="230" t="s">
        <v>330</v>
      </c>
      <c r="D27" s="356"/>
      <c r="E27" s="356"/>
      <c r="F27" s="356"/>
      <c r="G27" s="356"/>
      <c r="H27" s="356"/>
      <c r="I27" s="356"/>
      <c r="J27" s="357" t="e">
        <f>100*J26/J$54</f>
        <v>#REF!</v>
      </c>
      <c r="K27" s="357">
        <v>4.2</v>
      </c>
      <c r="L27" s="357">
        <v>4.2</v>
      </c>
      <c r="M27" s="357">
        <v>4.2</v>
      </c>
      <c r="N27" s="357">
        <v>4.2</v>
      </c>
      <c r="O27" s="357">
        <v>4.2</v>
      </c>
    </row>
    <row r="28" spans="1:19" ht="18" customHeight="1">
      <c r="A28" s="224"/>
      <c r="B28" s="225"/>
      <c r="C28" s="226" t="s">
        <v>339</v>
      </c>
      <c r="D28" s="227">
        <v>19913</v>
      </c>
      <c r="E28" s="227">
        <v>26999.1</v>
      </c>
      <c r="F28" s="227">
        <v>32398</v>
      </c>
      <c r="G28" s="227">
        <v>38226</v>
      </c>
      <c r="H28" s="227">
        <v>39381</v>
      </c>
      <c r="I28" s="227">
        <v>48252</v>
      </c>
      <c r="J28" s="237" t="e">
        <f>+K28+L28+M28+N28+O28</f>
        <v>#REF!</v>
      </c>
      <c r="K28" s="237" t="e">
        <f>+K$54*K29/100</f>
        <v>#REF!</v>
      </c>
      <c r="L28" s="237" t="e">
        <f>+L$54*L29/100</f>
        <v>#REF!</v>
      </c>
      <c r="M28" s="237" t="e">
        <f>+M$54*M29/100</f>
        <v>#REF!</v>
      </c>
      <c r="N28" s="237" t="e">
        <f>+N$54*N29/100</f>
        <v>#REF!</v>
      </c>
      <c r="O28" s="237" t="e">
        <f>+O$54*O29/100</f>
        <v>#REF!</v>
      </c>
      <c r="S28" s="206" t="e">
        <f>+L28/S26</f>
        <v>#REF!</v>
      </c>
    </row>
    <row r="29" spans="1:15" s="223" customFormat="1" ht="18" customHeight="1">
      <c r="A29" s="228"/>
      <c r="B29" s="229"/>
      <c r="C29" s="230" t="s">
        <v>330</v>
      </c>
      <c r="D29" s="356"/>
      <c r="E29" s="356"/>
      <c r="F29" s="356"/>
      <c r="G29" s="356"/>
      <c r="H29" s="356"/>
      <c r="I29" s="356"/>
      <c r="J29" s="357" t="e">
        <f>100*J28/J$54</f>
        <v>#REF!</v>
      </c>
      <c r="K29" s="357">
        <v>12.3</v>
      </c>
      <c r="L29" s="357">
        <v>12.6</v>
      </c>
      <c r="M29" s="357">
        <v>12.9</v>
      </c>
      <c r="N29" s="357">
        <v>13.2</v>
      </c>
      <c r="O29" s="357">
        <v>13.5</v>
      </c>
    </row>
    <row r="30" spans="1:19" ht="18" customHeight="1">
      <c r="A30" s="224"/>
      <c r="B30" s="225"/>
      <c r="C30" s="226" t="s">
        <v>340</v>
      </c>
      <c r="D30" s="227">
        <v>4453</v>
      </c>
      <c r="E30" s="227">
        <v>2974.7</v>
      </c>
      <c r="F30" s="227">
        <v>3847</v>
      </c>
      <c r="G30" s="227">
        <v>4230</v>
      </c>
      <c r="H30" s="227">
        <v>5549</v>
      </c>
      <c r="I30" s="227">
        <v>6628</v>
      </c>
      <c r="J30" s="237" t="e">
        <f>+K30+L30+M30+N30+O30</f>
        <v>#REF!</v>
      </c>
      <c r="K30" s="237" t="e">
        <f>+K$54*K31/100</f>
        <v>#REF!</v>
      </c>
      <c r="L30" s="237" t="e">
        <f>+L$54*L31/100</f>
        <v>#REF!</v>
      </c>
      <c r="M30" s="237" t="e">
        <f>+M$54*M31/100</f>
        <v>#REF!</v>
      </c>
      <c r="N30" s="237" t="e">
        <f>+N$54*N31/100</f>
        <v>#REF!</v>
      </c>
      <c r="O30" s="237" t="e">
        <f>+O$54*O31/100</f>
        <v>#REF!</v>
      </c>
      <c r="S30" s="206" t="e">
        <f>+L32/S26</f>
        <v>#REF!</v>
      </c>
    </row>
    <row r="31" spans="1:15" s="223" customFormat="1" ht="18" customHeight="1">
      <c r="A31" s="228"/>
      <c r="B31" s="229"/>
      <c r="C31" s="230" t="s">
        <v>330</v>
      </c>
      <c r="D31" s="356"/>
      <c r="E31" s="356"/>
      <c r="F31" s="356"/>
      <c r="G31" s="356"/>
      <c r="H31" s="356"/>
      <c r="I31" s="356"/>
      <c r="J31" s="357" t="e">
        <f>100*J30/J$54</f>
        <v>#REF!</v>
      </c>
      <c r="K31" s="357">
        <v>2.1</v>
      </c>
      <c r="L31" s="357">
        <v>2.1</v>
      </c>
      <c r="M31" s="357">
        <v>2.1</v>
      </c>
      <c r="N31" s="357">
        <v>2.1</v>
      </c>
      <c r="O31" s="357">
        <v>2.1</v>
      </c>
    </row>
    <row r="32" spans="1:19" ht="18" customHeight="1">
      <c r="A32" s="224"/>
      <c r="B32" s="225"/>
      <c r="C32" s="226" t="s">
        <v>341</v>
      </c>
      <c r="D32" s="227"/>
      <c r="E32" s="227"/>
      <c r="F32" s="227"/>
      <c r="G32" s="227"/>
      <c r="H32" s="227"/>
      <c r="I32" s="227"/>
      <c r="J32" s="237" t="e">
        <f>+K32+L32+M32+N32+O32</f>
        <v>#REF!</v>
      </c>
      <c r="K32" s="237" t="e">
        <f>+K$54*K33/100</f>
        <v>#REF!</v>
      </c>
      <c r="L32" s="237" t="e">
        <f>+L$54*L33/100</f>
        <v>#REF!</v>
      </c>
      <c r="M32" s="237" t="e">
        <f>+M$54*M33/100</f>
        <v>#REF!</v>
      </c>
      <c r="N32" s="237" t="e">
        <f>+N$54*N33/100</f>
        <v>#REF!</v>
      </c>
      <c r="O32" s="237" t="e">
        <f>+O$54*O33/100</f>
        <v>#REF!</v>
      </c>
      <c r="S32" s="231"/>
    </row>
    <row r="33" spans="1:15" s="223" customFormat="1" ht="18" customHeight="1">
      <c r="A33" s="228"/>
      <c r="B33" s="229"/>
      <c r="C33" s="230" t="s">
        <v>330</v>
      </c>
      <c r="D33" s="356"/>
      <c r="E33" s="356"/>
      <c r="F33" s="356"/>
      <c r="G33" s="356"/>
      <c r="H33" s="356"/>
      <c r="I33" s="356"/>
      <c r="J33" s="357" t="e">
        <f>100*J32/J$54</f>
        <v>#REF!</v>
      </c>
      <c r="K33" s="357">
        <v>3.6</v>
      </c>
      <c r="L33" s="357">
        <v>3.6</v>
      </c>
      <c r="M33" s="357">
        <v>3.6</v>
      </c>
      <c r="N33" s="357">
        <v>3.6</v>
      </c>
      <c r="O33" s="357">
        <v>3.6</v>
      </c>
    </row>
    <row r="34" spans="1:15" ht="28.5" customHeight="1">
      <c r="A34" s="224"/>
      <c r="B34" s="225"/>
      <c r="C34" s="226" t="s">
        <v>342</v>
      </c>
      <c r="D34" s="227">
        <v>1303</v>
      </c>
      <c r="E34" s="227">
        <v>2017.6</v>
      </c>
      <c r="F34" s="227">
        <v>1120</v>
      </c>
      <c r="G34" s="227">
        <v>1983</v>
      </c>
      <c r="H34" s="227">
        <v>1800</v>
      </c>
      <c r="I34" s="227">
        <v>2174</v>
      </c>
      <c r="J34" s="237" t="e">
        <f>+K34+L34+M34+N34+O34</f>
        <v>#REF!</v>
      </c>
      <c r="K34" s="237" t="e">
        <f>+K$54*K35/100</f>
        <v>#REF!</v>
      </c>
      <c r="L34" s="237" t="e">
        <f>+L$54*L35/100</f>
        <v>#REF!</v>
      </c>
      <c r="M34" s="237" t="e">
        <f>+M$54*M35/100</f>
        <v>#REF!</v>
      </c>
      <c r="N34" s="237" t="e">
        <f>+N$54*N35/100</f>
        <v>#REF!</v>
      </c>
      <c r="O34" s="237" t="e">
        <f>+O$54*O35/100</f>
        <v>#REF!</v>
      </c>
    </row>
    <row r="35" spans="1:15" s="223" customFormat="1" ht="18" customHeight="1">
      <c r="A35" s="228"/>
      <c r="B35" s="229"/>
      <c r="C35" s="230" t="s">
        <v>330</v>
      </c>
      <c r="D35" s="356"/>
      <c r="E35" s="356"/>
      <c r="F35" s="356"/>
      <c r="G35" s="356"/>
      <c r="H35" s="356"/>
      <c r="I35" s="356"/>
      <c r="J35" s="357" t="e">
        <f>100*J34/J$54</f>
        <v>#REF!</v>
      </c>
      <c r="K35" s="357">
        <v>1.5</v>
      </c>
      <c r="L35" s="357">
        <v>1.5</v>
      </c>
      <c r="M35" s="357">
        <v>1.5</v>
      </c>
      <c r="N35" s="357">
        <v>1.5</v>
      </c>
      <c r="O35" s="357">
        <v>1.5</v>
      </c>
    </row>
    <row r="36" spans="1:15" ht="18" customHeight="1">
      <c r="A36" s="224"/>
      <c r="B36" s="225"/>
      <c r="C36" s="226" t="s">
        <v>343</v>
      </c>
      <c r="D36" s="227">
        <v>4031</v>
      </c>
      <c r="E36" s="227">
        <v>1734.6</v>
      </c>
      <c r="F36" s="227">
        <v>2612</v>
      </c>
      <c r="G36" s="227">
        <v>3605</v>
      </c>
      <c r="H36" s="227">
        <v>5025</v>
      </c>
      <c r="I36" s="227">
        <v>5705</v>
      </c>
      <c r="J36" s="237" t="e">
        <f>+K36+L36+M36+N36+O36</f>
        <v>#REF!</v>
      </c>
      <c r="K36" s="237" t="e">
        <f>+K$54*K37/100</f>
        <v>#REF!</v>
      </c>
      <c r="L36" s="237" t="e">
        <f>+L$54*L37/100</f>
        <v>#REF!</v>
      </c>
      <c r="M36" s="237" t="e">
        <f>+M$54*M37/100</f>
        <v>#REF!</v>
      </c>
      <c r="N36" s="237" t="e">
        <f>+N$54*N37/100</f>
        <v>#REF!</v>
      </c>
      <c r="O36" s="237" t="e">
        <f>+O$54*O37/100</f>
        <v>#REF!</v>
      </c>
    </row>
    <row r="37" spans="1:15" s="223" customFormat="1" ht="18" customHeight="1">
      <c r="A37" s="228"/>
      <c r="B37" s="229"/>
      <c r="C37" s="230" t="s">
        <v>330</v>
      </c>
      <c r="D37" s="356"/>
      <c r="E37" s="356"/>
      <c r="F37" s="356"/>
      <c r="G37" s="356"/>
      <c r="H37" s="356"/>
      <c r="I37" s="356"/>
      <c r="J37" s="357" t="e">
        <f>100*J36/J$54</f>
        <v>#REF!</v>
      </c>
      <c r="K37" s="357">
        <v>4.6</v>
      </c>
      <c r="L37" s="357">
        <v>4.5</v>
      </c>
      <c r="M37" s="357">
        <v>4.4</v>
      </c>
      <c r="N37" s="357">
        <v>4.3</v>
      </c>
      <c r="O37" s="357">
        <v>4.2</v>
      </c>
    </row>
    <row r="38" spans="1:19" ht="36.75" customHeight="1">
      <c r="A38" s="224"/>
      <c r="B38" s="225"/>
      <c r="C38" s="226" t="s">
        <v>344</v>
      </c>
      <c r="D38" s="227">
        <v>1883</v>
      </c>
      <c r="E38" s="227">
        <v>1935.5</v>
      </c>
      <c r="F38" s="227">
        <v>695</v>
      </c>
      <c r="G38" s="227"/>
      <c r="H38" s="227">
        <v>1351</v>
      </c>
      <c r="I38" s="227">
        <v>1486</v>
      </c>
      <c r="J38" s="237" t="e">
        <f>+K38+L38+M38+N38+O38</f>
        <v>#REF!</v>
      </c>
      <c r="K38" s="237" t="e">
        <f>+K$54*K39/100</f>
        <v>#REF!</v>
      </c>
      <c r="L38" s="237" t="e">
        <f>+L$54*L39/100</f>
        <v>#REF!</v>
      </c>
      <c r="M38" s="237" t="e">
        <f>+M$54*M39/100</f>
        <v>#REF!</v>
      </c>
      <c r="N38" s="237" t="e">
        <f>+N$54*N39/100</f>
        <v>#REF!</v>
      </c>
      <c r="O38" s="237" t="e">
        <f>+O$54*O39/100</f>
        <v>#REF!</v>
      </c>
      <c r="R38" s="206">
        <f>1456+65373+11914</f>
        <v>78743</v>
      </c>
      <c r="S38" s="231" t="e">
        <f>+L40+L42+L50</f>
        <v>#REF!</v>
      </c>
    </row>
    <row r="39" spans="1:22" s="223" customFormat="1" ht="18" customHeight="1">
      <c r="A39" s="228"/>
      <c r="B39" s="232"/>
      <c r="C39" s="230" t="s">
        <v>330</v>
      </c>
      <c r="D39" s="361"/>
      <c r="E39" s="356"/>
      <c r="F39" s="356"/>
      <c r="G39" s="356"/>
      <c r="H39" s="356"/>
      <c r="I39" s="356"/>
      <c r="J39" s="357" t="e">
        <f>100*J38/J$54</f>
        <v>#REF!</v>
      </c>
      <c r="K39" s="357">
        <v>1.1</v>
      </c>
      <c r="L39" s="357">
        <v>1.1</v>
      </c>
      <c r="M39" s="362">
        <v>1.1</v>
      </c>
      <c r="N39" s="357">
        <v>1.1</v>
      </c>
      <c r="O39" s="357">
        <v>1.1</v>
      </c>
      <c r="P39" s="221"/>
      <c r="Q39" s="222"/>
      <c r="S39" s="221"/>
      <c r="T39" s="222"/>
      <c r="V39" s="221"/>
    </row>
    <row r="40" spans="1:19" ht="18" customHeight="1">
      <c r="A40" s="224"/>
      <c r="B40" s="225"/>
      <c r="C40" s="226" t="s">
        <v>345</v>
      </c>
      <c r="D40" s="227">
        <v>3914</v>
      </c>
      <c r="E40" s="227">
        <v>3854</v>
      </c>
      <c r="F40" s="227">
        <v>3072</v>
      </c>
      <c r="G40" s="227">
        <v>4452</v>
      </c>
      <c r="H40" s="227">
        <v>8260</v>
      </c>
      <c r="I40" s="227">
        <v>9727</v>
      </c>
      <c r="J40" s="237" t="e">
        <f>+K40+L40+M40+N40+O40</f>
        <v>#REF!</v>
      </c>
      <c r="K40" s="237" t="e">
        <f>+K$54*K41/100</f>
        <v>#REF!</v>
      </c>
      <c r="L40" s="237" t="e">
        <f>+L$54*L41/100</f>
        <v>#REF!</v>
      </c>
      <c r="M40" s="237" t="e">
        <f>+M$54*M41/100</f>
        <v>#REF!</v>
      </c>
      <c r="N40" s="237" t="e">
        <f>+N$54*N41/100</f>
        <v>#REF!</v>
      </c>
      <c r="O40" s="237" t="e">
        <f>+O$54*O41/100</f>
        <v>#REF!</v>
      </c>
      <c r="S40" s="206" t="e">
        <f>+L40/S38</f>
        <v>#REF!</v>
      </c>
    </row>
    <row r="41" spans="1:15" s="223" customFormat="1" ht="18" customHeight="1">
      <c r="A41" s="228"/>
      <c r="B41" s="229"/>
      <c r="C41" s="230" t="s">
        <v>330</v>
      </c>
      <c r="D41" s="356"/>
      <c r="E41" s="356"/>
      <c r="F41" s="356"/>
      <c r="G41" s="356"/>
      <c r="H41" s="356"/>
      <c r="I41" s="356"/>
      <c r="J41" s="357" t="e">
        <f>100*J40/J$54</f>
        <v>#REF!</v>
      </c>
      <c r="K41" s="357">
        <v>3.4</v>
      </c>
      <c r="L41" s="357">
        <v>3.4</v>
      </c>
      <c r="M41" s="357">
        <v>3.4</v>
      </c>
      <c r="N41" s="357">
        <v>3.4</v>
      </c>
      <c r="O41" s="357">
        <v>3.4</v>
      </c>
    </row>
    <row r="42" spans="1:19" ht="55.5" customHeight="1" hidden="1">
      <c r="A42" s="224"/>
      <c r="B42" s="225"/>
      <c r="C42" s="226" t="s">
        <v>346</v>
      </c>
      <c r="D42" s="227">
        <v>793</v>
      </c>
      <c r="E42" s="227">
        <v>342</v>
      </c>
      <c r="F42" s="227">
        <v>818</v>
      </c>
      <c r="G42" s="227">
        <v>892</v>
      </c>
      <c r="H42" s="227">
        <v>1015</v>
      </c>
      <c r="I42" s="227">
        <v>1217</v>
      </c>
      <c r="J42" s="237"/>
      <c r="K42" s="237"/>
      <c r="L42" s="237"/>
      <c r="M42" s="237"/>
      <c r="N42" s="237"/>
      <c r="O42" s="237"/>
      <c r="S42" s="206" t="e">
        <f>+L42/S38</f>
        <v>#REF!</v>
      </c>
    </row>
    <row r="43" spans="1:15" s="223" customFormat="1" ht="18" customHeight="1" hidden="1">
      <c r="A43" s="228"/>
      <c r="B43" s="229"/>
      <c r="C43" s="230" t="s">
        <v>330</v>
      </c>
      <c r="D43" s="356"/>
      <c r="E43" s="356"/>
      <c r="F43" s="356"/>
      <c r="G43" s="356"/>
      <c r="H43" s="356"/>
      <c r="I43" s="356"/>
      <c r="J43" s="357"/>
      <c r="K43" s="357"/>
      <c r="L43" s="357"/>
      <c r="M43" s="357"/>
      <c r="N43" s="357"/>
      <c r="O43" s="357"/>
    </row>
    <row r="44" spans="1:19" ht="18" customHeight="1">
      <c r="A44" s="224"/>
      <c r="B44" s="225"/>
      <c r="C44" s="226" t="s">
        <v>347</v>
      </c>
      <c r="D44" s="227">
        <v>6084</v>
      </c>
      <c r="E44" s="227">
        <v>6225.3</v>
      </c>
      <c r="F44" s="227">
        <v>5882</v>
      </c>
      <c r="G44" s="227">
        <v>7118</v>
      </c>
      <c r="H44" s="227">
        <v>8614</v>
      </c>
      <c r="I44" s="227">
        <v>10097</v>
      </c>
      <c r="J44" s="237" t="e">
        <f>+K44+L44+M44+N44+O44</f>
        <v>#REF!</v>
      </c>
      <c r="K44" s="237" t="e">
        <f>+K$54*K45/100</f>
        <v>#REF!</v>
      </c>
      <c r="L44" s="237" t="e">
        <f>+L$54*L45/100</f>
        <v>#REF!</v>
      </c>
      <c r="M44" s="237" t="e">
        <f>+M$54*M45/100</f>
        <v>#REF!</v>
      </c>
      <c r="N44" s="237" t="e">
        <f>+N$54*N45/100</f>
        <v>#REF!</v>
      </c>
      <c r="O44" s="237" t="e">
        <f>+O$54*O45/100</f>
        <v>#REF!</v>
      </c>
      <c r="S44" s="206" t="e">
        <f>+L50/S38</f>
        <v>#REF!</v>
      </c>
    </row>
    <row r="45" spans="1:15" s="223" customFormat="1" ht="18" customHeight="1">
      <c r="A45" s="228"/>
      <c r="B45" s="229"/>
      <c r="C45" s="230" t="s">
        <v>330</v>
      </c>
      <c r="D45" s="356"/>
      <c r="E45" s="356"/>
      <c r="F45" s="356"/>
      <c r="G45" s="356"/>
      <c r="H45" s="356"/>
      <c r="I45" s="356"/>
      <c r="J45" s="357" t="e">
        <f>100*J44/J$54</f>
        <v>#REF!</v>
      </c>
      <c r="K45" s="357">
        <v>2.9</v>
      </c>
      <c r="L45" s="357">
        <v>3</v>
      </c>
      <c r="M45" s="357">
        <v>3.1</v>
      </c>
      <c r="N45" s="357">
        <v>3.2</v>
      </c>
      <c r="O45" s="357">
        <v>3.3</v>
      </c>
    </row>
    <row r="46" spans="1:15" ht="18" customHeight="1">
      <c r="A46" s="224"/>
      <c r="B46" s="225"/>
      <c r="C46" s="226" t="s">
        <v>348</v>
      </c>
      <c r="D46" s="227">
        <v>2323</v>
      </c>
      <c r="E46" s="227">
        <v>2770.1</v>
      </c>
      <c r="F46" s="227">
        <v>3207</v>
      </c>
      <c r="G46" s="227">
        <v>4370</v>
      </c>
      <c r="H46" s="227">
        <v>5665</v>
      </c>
      <c r="I46" s="227">
        <v>5775</v>
      </c>
      <c r="J46" s="237" t="e">
        <f>+K46+L46+M46+N46+O46</f>
        <v>#REF!</v>
      </c>
      <c r="K46" s="237" t="e">
        <f>+K$54*K47/100</f>
        <v>#REF!</v>
      </c>
      <c r="L46" s="237" t="e">
        <f>+L$54*L47/100</f>
        <v>#REF!</v>
      </c>
      <c r="M46" s="237" t="e">
        <f>+M$54*M47/100</f>
        <v>#REF!</v>
      </c>
      <c r="N46" s="237" t="e">
        <f>+N$54*N47/100</f>
        <v>#REF!</v>
      </c>
      <c r="O46" s="237" t="e">
        <f>+O$54*O47/100</f>
        <v>#REF!</v>
      </c>
    </row>
    <row r="47" spans="1:15" s="223" customFormat="1" ht="18" customHeight="1">
      <c r="A47" s="228"/>
      <c r="B47" s="229"/>
      <c r="C47" s="230" t="s">
        <v>330</v>
      </c>
      <c r="D47" s="356"/>
      <c r="E47" s="356"/>
      <c r="F47" s="356"/>
      <c r="G47" s="356"/>
      <c r="H47" s="356"/>
      <c r="I47" s="356"/>
      <c r="J47" s="357" t="e">
        <f>100*J46/J$54</f>
        <v>#REF!</v>
      </c>
      <c r="K47" s="357">
        <v>1.5</v>
      </c>
      <c r="L47" s="357">
        <v>1.6</v>
      </c>
      <c r="M47" s="357">
        <v>1.7</v>
      </c>
      <c r="N47" s="357">
        <v>1.8</v>
      </c>
      <c r="O47" s="357">
        <v>1.9</v>
      </c>
    </row>
    <row r="48" spans="1:15" ht="18" customHeight="1" hidden="1">
      <c r="A48" s="224"/>
      <c r="B48" s="225"/>
      <c r="C48" s="226" t="s">
        <v>349</v>
      </c>
      <c r="D48" s="227">
        <v>2812</v>
      </c>
      <c r="E48" s="227">
        <v>2228.4</v>
      </c>
      <c r="F48" s="227">
        <v>3029</v>
      </c>
      <c r="G48" s="227">
        <v>4288</v>
      </c>
      <c r="H48" s="227">
        <v>4583</v>
      </c>
      <c r="I48" s="227">
        <v>4893</v>
      </c>
      <c r="J48" s="237"/>
      <c r="K48" s="237"/>
      <c r="L48" s="237"/>
      <c r="M48" s="237"/>
      <c r="N48" s="237"/>
      <c r="O48" s="237"/>
    </row>
    <row r="49" spans="1:15" s="223" customFormat="1" ht="18" customHeight="1" hidden="1">
      <c r="A49" s="228"/>
      <c r="B49" s="236"/>
      <c r="C49" s="230" t="s">
        <v>330</v>
      </c>
      <c r="D49" s="356"/>
      <c r="E49" s="356"/>
      <c r="F49" s="356"/>
      <c r="G49" s="356"/>
      <c r="H49" s="356"/>
      <c r="I49" s="356"/>
      <c r="J49" s="357"/>
      <c r="K49" s="357"/>
      <c r="L49" s="357"/>
      <c r="M49" s="357"/>
      <c r="N49" s="357"/>
      <c r="O49" s="357"/>
    </row>
    <row r="50" spans="1:15" ht="18" customHeight="1">
      <c r="A50" s="225"/>
      <c r="B50" s="229"/>
      <c r="C50" s="226" t="s">
        <v>350</v>
      </c>
      <c r="D50" s="227">
        <v>20400</v>
      </c>
      <c r="E50" s="227">
        <v>23070.9</v>
      </c>
      <c r="F50" s="227">
        <v>29230</v>
      </c>
      <c r="G50" s="227">
        <v>35151</v>
      </c>
      <c r="H50" s="227">
        <v>46690</v>
      </c>
      <c r="I50" s="227">
        <v>56969</v>
      </c>
      <c r="J50" s="237" t="e">
        <f>+K50+L50+M50+N50+O50</f>
        <v>#REF!</v>
      </c>
      <c r="K50" s="237" t="e">
        <f>+K54-K8-K13-K15-K17-K19-K21-K26-K28-K30-K32-K34-K36-K38-K40-K42-K44-K46-K48</f>
        <v>#REF!</v>
      </c>
      <c r="L50" s="237" t="e">
        <f>+L54-L8-L13-L15-L17-L19-L21-L26-L28-L30-L32-L34-L36-L38-L40-L42-L44-L46-L48</f>
        <v>#REF!</v>
      </c>
      <c r="M50" s="237" t="e">
        <f>+M54-M8-M13-M15-M17-M19-M21-M26-M28-M30-M32-M34-M36-M38-M40-M42-M44-M46-M48</f>
        <v>#REF!</v>
      </c>
      <c r="N50" s="237" t="e">
        <f>+N54-N8-N13-N15-N17-N19-N21-N26-N28-N30-N32-N34-N36-N38-N40-N42-N44-N46-N48</f>
        <v>#REF!</v>
      </c>
      <c r="O50" s="237" t="e">
        <f>+O54-O8-O13-O15-O17-O19-O21-O26-O28-O30-O32-O34-O36-O38-O40-O42-O44-O46-O48</f>
        <v>#REF!</v>
      </c>
    </row>
    <row r="51" spans="1:15" s="223" customFormat="1" ht="18" customHeight="1">
      <c r="A51" s="229"/>
      <c r="B51" s="229"/>
      <c r="C51" s="230" t="s">
        <v>330</v>
      </c>
      <c r="D51" s="356"/>
      <c r="E51" s="356"/>
      <c r="F51" s="356"/>
      <c r="G51" s="356"/>
      <c r="H51" s="356"/>
      <c r="I51" s="356"/>
      <c r="J51" s="357" t="e">
        <f aca="true" t="shared" si="3" ref="J51:O51">100*J50/J$54</f>
        <v>#REF!</v>
      </c>
      <c r="K51" s="357" t="e">
        <f t="shared" si="3"/>
        <v>#REF!</v>
      </c>
      <c r="L51" s="357" t="e">
        <f t="shared" si="3"/>
        <v>#REF!</v>
      </c>
      <c r="M51" s="357" t="e">
        <f t="shared" si="3"/>
        <v>#REF!</v>
      </c>
      <c r="N51" s="357" t="e">
        <f t="shared" si="3"/>
        <v>#REF!</v>
      </c>
      <c r="O51" s="357" t="e">
        <f t="shared" si="3"/>
        <v>#REF!</v>
      </c>
    </row>
    <row r="52" spans="1:15" ht="15" customHeight="1">
      <c r="A52" s="238"/>
      <c r="B52" s="239"/>
      <c r="C52" s="240"/>
      <c r="D52" s="241"/>
      <c r="E52" s="241"/>
      <c r="F52" s="241"/>
      <c r="G52" s="241"/>
      <c r="H52" s="241"/>
      <c r="I52" s="241"/>
      <c r="J52" s="241"/>
      <c r="K52" s="241"/>
      <c r="L52" s="241"/>
      <c r="M52" s="241"/>
      <c r="N52" s="241"/>
      <c r="O52" s="242"/>
    </row>
    <row r="53" spans="3:14" ht="15" customHeight="1">
      <c r="C53" s="243"/>
      <c r="D53" s="208"/>
      <c r="E53" s="208"/>
      <c r="F53" s="208"/>
      <c r="G53" s="208"/>
      <c r="H53" s="208"/>
      <c r="I53" s="208"/>
      <c r="J53" s="208"/>
      <c r="K53" s="208"/>
      <c r="L53" s="208"/>
      <c r="M53" s="208"/>
      <c r="N53" s="208"/>
    </row>
    <row r="54" spans="1:15" ht="30" customHeight="1">
      <c r="A54" s="216"/>
      <c r="B54" s="818" t="s">
        <v>287</v>
      </c>
      <c r="C54" s="819"/>
      <c r="D54" s="345">
        <v>151183</v>
      </c>
      <c r="E54" s="345">
        <v>170496</v>
      </c>
      <c r="F54" s="345">
        <v>200145</v>
      </c>
      <c r="G54" s="345">
        <v>239246</v>
      </c>
      <c r="H54" s="345">
        <v>290927</v>
      </c>
      <c r="I54" s="345">
        <v>343135</v>
      </c>
      <c r="J54" s="343" t="e">
        <f>+K54+L54+M54+N54+O54</f>
        <v>#REF!</v>
      </c>
      <c r="K54" s="343" t="e">
        <f>#REF!*1000</f>
        <v>#REF!</v>
      </c>
      <c r="L54" s="343" t="e">
        <f>#REF!*1000</f>
        <v>#REF!</v>
      </c>
      <c r="M54" s="343" t="e">
        <f>#REF!*1000</f>
        <v>#REF!</v>
      </c>
      <c r="N54" s="343" t="e">
        <f>#REF!*1000</f>
        <v>#REF!</v>
      </c>
      <c r="O54" s="343" t="e">
        <f>#REF!*1000</f>
        <v>#REF!</v>
      </c>
    </row>
  </sheetData>
  <sheetProtection/>
  <mergeCells count="16">
    <mergeCell ref="B9:C9"/>
    <mergeCell ref="B10:C10"/>
    <mergeCell ref="A1:O1"/>
    <mergeCell ref="A2:O2"/>
    <mergeCell ref="A3:O3"/>
    <mergeCell ref="M4:O4"/>
    <mergeCell ref="B11:C11"/>
    <mergeCell ref="B12:C12"/>
    <mergeCell ref="B5:C5"/>
    <mergeCell ref="B54:C54"/>
    <mergeCell ref="B6:C6"/>
    <mergeCell ref="B23:C23"/>
    <mergeCell ref="B24:C24"/>
    <mergeCell ref="B25:C25"/>
    <mergeCell ref="B7:C7"/>
    <mergeCell ref="B8:C8"/>
  </mergeCells>
  <printOptions horizontalCentered="1"/>
  <pageMargins left="0.7086614173228347" right="0.7086614173228347" top="0.5905511811023623" bottom="0.5905511811023623" header="0.31496062992125984" footer="0.31496062992125984"/>
  <pageSetup fitToHeight="0" fitToWidth="1" horizontalDpi="600" verticalDpi="600" orientation="landscape" paperSize="9" scale="95" r:id="rId1"/>
  <headerFooter alignWithMargins="0">
    <oddHeader>&amp;R&amp;P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V65"/>
  <sheetViews>
    <sheetView zoomScalePageLayoutView="0" workbookViewId="0" topLeftCell="A1">
      <pane xSplit="2" ySplit="20" topLeftCell="C21" activePane="bottomRight" state="frozen"/>
      <selection pane="topLeft" activeCell="C40" sqref="C40"/>
      <selection pane="topRight" activeCell="C40" sqref="C40"/>
      <selection pane="bottomLeft" activeCell="C40" sqref="C40"/>
      <selection pane="bottomRight" activeCell="C40" sqref="C40"/>
    </sheetView>
  </sheetViews>
  <sheetFormatPr defaultColWidth="9.140625" defaultRowHeight="12.75"/>
  <cols>
    <col min="1" max="1" width="4.421875" style="335" customWidth="1"/>
    <col min="2" max="2" width="36.57421875" style="252" customWidth="1"/>
    <col min="3" max="3" width="14.8515625" style="251" customWidth="1"/>
    <col min="4" max="4" width="14.8515625" style="252" customWidth="1"/>
    <col min="5" max="7" width="14.8515625" style="253" customWidth="1"/>
    <col min="8" max="8" width="14.8515625" style="336" customWidth="1"/>
    <col min="9" max="9" width="13.8515625" style="254" hidden="1" customWidth="1"/>
    <col min="10" max="10" width="12.140625" style="254" customWidth="1"/>
    <col min="11" max="12" width="9.140625" style="245" customWidth="1"/>
    <col min="13" max="13" width="10.140625" style="245" bestFit="1" customWidth="1"/>
    <col min="14" max="16384" width="9.140625" style="245" customWidth="1"/>
  </cols>
  <sheetData>
    <row r="1" spans="1:14" s="206" customFormat="1" ht="30.75" customHeight="1">
      <c r="A1" s="829" t="s">
        <v>392</v>
      </c>
      <c r="B1" s="829"/>
      <c r="C1" s="829"/>
      <c r="D1" s="829"/>
      <c r="E1" s="829"/>
      <c r="F1" s="829"/>
      <c r="G1" s="829"/>
      <c r="H1" s="829"/>
      <c r="I1" s="205"/>
      <c r="J1" s="205"/>
      <c r="K1" s="205"/>
      <c r="L1" s="205"/>
      <c r="M1" s="205"/>
      <c r="N1" s="205"/>
    </row>
    <row r="2" spans="1:10" ht="45" customHeight="1">
      <c r="A2" s="833" t="s">
        <v>398</v>
      </c>
      <c r="B2" s="834"/>
      <c r="C2" s="834"/>
      <c r="D2" s="834"/>
      <c r="E2" s="834"/>
      <c r="F2" s="834"/>
      <c r="G2" s="834"/>
      <c r="H2" s="834"/>
      <c r="I2" s="834"/>
      <c r="J2" s="244"/>
    </row>
    <row r="3" spans="1:10" ht="12.75" customHeight="1">
      <c r="A3" s="246"/>
      <c r="B3" s="244"/>
      <c r="C3" s="247"/>
      <c r="D3" s="244"/>
      <c r="E3" s="244"/>
      <c r="F3" s="244"/>
      <c r="G3" s="244"/>
      <c r="H3" s="244"/>
      <c r="I3" s="248"/>
      <c r="J3" s="248"/>
    </row>
    <row r="4" spans="1:9" ht="27.75" customHeight="1">
      <c r="A4" s="249"/>
      <c r="B4" s="250"/>
      <c r="F4" s="835" t="s">
        <v>397</v>
      </c>
      <c r="G4" s="835"/>
      <c r="H4" s="835"/>
      <c r="I4" s="836"/>
    </row>
    <row r="5" spans="1:10" s="262" customFormat="1" ht="39.75" customHeight="1">
      <c r="A5" s="255"/>
      <c r="B5" s="256" t="s">
        <v>390</v>
      </c>
      <c r="C5" s="257" t="s">
        <v>389</v>
      </c>
      <c r="D5" s="258">
        <v>2011</v>
      </c>
      <c r="E5" s="259">
        <v>2012</v>
      </c>
      <c r="F5" s="259">
        <v>2013</v>
      </c>
      <c r="G5" s="259">
        <v>2014</v>
      </c>
      <c r="H5" s="259">
        <v>2015</v>
      </c>
      <c r="I5" s="260">
        <v>2011</v>
      </c>
      <c r="J5" s="261"/>
    </row>
    <row r="6" spans="1:12" s="270" customFormat="1" ht="52.5" customHeight="1" hidden="1">
      <c r="A6" s="263"/>
      <c r="B6" s="264" t="s">
        <v>328</v>
      </c>
      <c r="C6" s="265"/>
      <c r="D6" s="266"/>
      <c r="E6" s="266"/>
      <c r="F6" s="266"/>
      <c r="G6" s="266"/>
      <c r="H6" s="267"/>
      <c r="I6" s="268">
        <f>'[4]cc2011'!H5</f>
        <v>152000.05204045697</v>
      </c>
      <c r="J6" s="269"/>
      <c r="L6" s="271"/>
    </row>
    <row r="7" spans="1:22" s="281" customFormat="1" ht="46.5" customHeight="1" hidden="1">
      <c r="A7" s="272" t="s">
        <v>118</v>
      </c>
      <c r="B7" s="273" t="s">
        <v>387</v>
      </c>
      <c r="C7" s="274"/>
      <c r="D7" s="275"/>
      <c r="E7" s="276"/>
      <c r="F7" s="276"/>
      <c r="G7" s="276"/>
      <c r="H7" s="277"/>
      <c r="I7" s="278">
        <f>'[4]cc2011'!H6</f>
        <v>10080</v>
      </c>
      <c r="J7" s="279"/>
      <c r="K7" s="280"/>
      <c r="M7" s="282"/>
      <c r="N7" s="280"/>
      <c r="P7" s="282"/>
      <c r="Q7" s="280"/>
      <c r="S7" s="282"/>
      <c r="T7" s="280"/>
      <c r="V7" s="282"/>
    </row>
    <row r="8" spans="1:22" ht="47.25" hidden="1">
      <c r="A8" s="283"/>
      <c r="B8" s="284" t="s">
        <v>386</v>
      </c>
      <c r="C8" s="285"/>
      <c r="D8" s="286">
        <f>+'[4]cc2006'!C7+'[4]cc2006'!C8</f>
        <v>120</v>
      </c>
      <c r="E8" s="287">
        <f>+'[4]cc2007'!C8</f>
        <v>220</v>
      </c>
      <c r="F8" s="287">
        <f>+'[4]cc2008'!C8</f>
        <v>200</v>
      </c>
      <c r="G8" s="288">
        <f>+'[4]cc2009'!C8</f>
        <v>200</v>
      </c>
      <c r="H8" s="288">
        <f>+'[4]cc2010'!H8</f>
        <v>200</v>
      </c>
      <c r="I8" s="289">
        <f>'[4]cc2011'!H7</f>
        <v>180</v>
      </c>
      <c r="J8" s="290"/>
      <c r="K8" s="291"/>
      <c r="M8" s="292"/>
      <c r="N8" s="291"/>
      <c r="P8" s="292"/>
      <c r="Q8" s="291"/>
      <c r="S8" s="292"/>
      <c r="T8" s="291"/>
      <c r="V8" s="292"/>
    </row>
    <row r="9" spans="1:22" ht="47.25" hidden="1">
      <c r="A9" s="283"/>
      <c r="B9" s="284" t="s">
        <v>385</v>
      </c>
      <c r="C9" s="285"/>
      <c r="D9" s="286">
        <f>+'[4]cc2006'!C9</f>
        <v>300</v>
      </c>
      <c r="E9" s="287">
        <f>+'[4]cc2007'!C9</f>
        <v>200</v>
      </c>
      <c r="F9" s="287">
        <f>+'[4]cc2008'!C9</f>
        <v>200</v>
      </c>
      <c r="G9" s="288">
        <f>+'[4]cc2009'!C9</f>
        <v>200</v>
      </c>
      <c r="H9" s="288">
        <f>+'[4]cc2010'!H9</f>
        <v>200</v>
      </c>
      <c r="I9" s="289">
        <f>'[4]cc2011'!H8</f>
        <v>200</v>
      </c>
      <c r="J9" s="290"/>
      <c r="K9" s="291"/>
      <c r="M9" s="292"/>
      <c r="N9" s="291"/>
      <c r="P9" s="292"/>
      <c r="Q9" s="291"/>
      <c r="S9" s="292"/>
      <c r="T9" s="291"/>
      <c r="V9" s="292"/>
    </row>
    <row r="10" spans="1:22" ht="31.5" hidden="1">
      <c r="A10" s="283"/>
      <c r="B10" s="284" t="s">
        <v>384</v>
      </c>
      <c r="C10" s="285"/>
      <c r="D10" s="286">
        <f>+'[4]cc2006'!C10</f>
        <v>2000</v>
      </c>
      <c r="E10" s="287">
        <f>+'[4]cc2007'!C10</f>
        <v>2500</v>
      </c>
      <c r="F10" s="287">
        <f>+'[4]cc2008'!C10</f>
        <v>2300</v>
      </c>
      <c r="G10" s="288">
        <f>+'[4]cc2009'!C10</f>
        <v>3700</v>
      </c>
      <c r="H10" s="288">
        <f>+'[4]cc2010'!H10</f>
        <v>3700</v>
      </c>
      <c r="I10" s="289">
        <f>'[4]cc2011'!H9</f>
        <v>4500</v>
      </c>
      <c r="J10" s="290"/>
      <c r="K10" s="291"/>
      <c r="M10" s="292"/>
      <c r="N10" s="291"/>
      <c r="P10" s="292"/>
      <c r="Q10" s="291"/>
      <c r="S10" s="292"/>
      <c r="T10" s="291"/>
      <c r="V10" s="292"/>
    </row>
    <row r="11" spans="1:10" ht="15.75" hidden="1">
      <c r="A11" s="283"/>
      <c r="B11" s="293" t="s">
        <v>383</v>
      </c>
      <c r="C11" s="285"/>
      <c r="D11" s="287"/>
      <c r="E11" s="287"/>
      <c r="F11" s="287">
        <f>+'[4]cc2008'!C11</f>
        <v>120</v>
      </c>
      <c r="G11" s="288"/>
      <c r="H11" s="288"/>
      <c r="I11" s="289"/>
      <c r="J11" s="290"/>
    </row>
    <row r="12" spans="1:10" ht="31.5" hidden="1">
      <c r="A12" s="283"/>
      <c r="B12" s="294" t="s">
        <v>382</v>
      </c>
      <c r="C12" s="295"/>
      <c r="D12" s="287"/>
      <c r="E12" s="287"/>
      <c r="F12" s="287"/>
      <c r="G12" s="288">
        <f>+'[4]cc2009'!C11</f>
        <v>4900</v>
      </c>
      <c r="H12" s="288">
        <f>+'[4]cc2010'!H11</f>
        <v>3500</v>
      </c>
      <c r="I12" s="289">
        <f>'[4]cc2011'!H10</f>
        <v>3500</v>
      </c>
      <c r="J12" s="290"/>
    </row>
    <row r="13" spans="1:10" ht="78.75" hidden="1">
      <c r="A13" s="283"/>
      <c r="B13" s="294" t="s">
        <v>381</v>
      </c>
      <c r="C13" s="295"/>
      <c r="D13" s="287">
        <f>+'[4]cc2006'!C11</f>
        <v>150</v>
      </c>
      <c r="E13" s="287">
        <f>+'[4]cc2007'!C11</f>
        <v>0</v>
      </c>
      <c r="F13" s="287"/>
      <c r="G13" s="288">
        <f>+'[4]cc2009'!C12</f>
        <v>160</v>
      </c>
      <c r="H13" s="288">
        <f>+'[4]cc2010'!H12</f>
        <v>300</v>
      </c>
      <c r="I13" s="289">
        <f>'[4]cc2011'!H11</f>
        <v>820</v>
      </c>
      <c r="J13" s="290"/>
    </row>
    <row r="14" spans="1:10" ht="15.75" hidden="1">
      <c r="A14" s="283"/>
      <c r="B14" s="296" t="s">
        <v>380</v>
      </c>
      <c r="C14" s="297"/>
      <c r="D14" s="287"/>
      <c r="E14" s="287">
        <f>+'[4]cc2007'!C13</f>
        <v>100</v>
      </c>
      <c r="F14" s="287"/>
      <c r="G14" s="288"/>
      <c r="H14" s="288"/>
      <c r="I14" s="289"/>
      <c r="J14" s="290"/>
    </row>
    <row r="15" spans="1:10" ht="15.75" hidden="1">
      <c r="A15" s="283"/>
      <c r="B15" s="293" t="s">
        <v>379</v>
      </c>
      <c r="C15" s="285"/>
      <c r="D15" s="287"/>
      <c r="E15" s="287">
        <f>+'[4]cc2007'!C12</f>
        <v>1000</v>
      </c>
      <c r="F15" s="287">
        <f>+'[4]cc2008'!C12</f>
        <v>600</v>
      </c>
      <c r="G15" s="288">
        <f>+'[4]cc2009'!C13</f>
        <v>800</v>
      </c>
      <c r="H15" s="288">
        <f>+'[4]cc2010'!H13</f>
        <v>800</v>
      </c>
      <c r="I15" s="289">
        <f>'[4]cc2011'!H12</f>
        <v>880</v>
      </c>
      <c r="J15" s="290"/>
    </row>
    <row r="16" spans="1:10" s="281" customFormat="1" ht="45.75" customHeight="1">
      <c r="A16" s="272"/>
      <c r="B16" s="298" t="s">
        <v>328</v>
      </c>
      <c r="C16" s="274" t="e">
        <f>+D16+E16+F16+G16+H16</f>
        <v>#REF!</v>
      </c>
      <c r="D16" s="276" t="e">
        <f>+D21+D33+D53+D55</f>
        <v>#REF!</v>
      </c>
      <c r="E16" s="276" t="e">
        <f>+E21+E33+E53+E55</f>
        <v>#REF!</v>
      </c>
      <c r="F16" s="276" t="e">
        <f>+F21+F33+F53+F55</f>
        <v>#REF!</v>
      </c>
      <c r="G16" s="276" t="e">
        <f>+G21+G33+G53+G55</f>
        <v>#REF!</v>
      </c>
      <c r="H16" s="276" t="e">
        <f>+H21+H33+H53+H55</f>
        <v>#REF!</v>
      </c>
      <c r="I16" s="276">
        <f>'[4]cc2006-2010'!I14</f>
        <v>880</v>
      </c>
      <c r="J16" s="269"/>
    </row>
    <row r="17" spans="1:10" s="281" customFormat="1" ht="45.75" customHeight="1" hidden="1">
      <c r="A17" s="272"/>
      <c r="B17" s="298" t="s">
        <v>328</v>
      </c>
      <c r="C17" s="274">
        <f>+D17+E17+F17+G17+H17</f>
        <v>1287000</v>
      </c>
      <c r="D17" s="276">
        <v>167000</v>
      </c>
      <c r="E17" s="276">
        <v>210000</v>
      </c>
      <c r="F17" s="276">
        <v>260000</v>
      </c>
      <c r="G17" s="276">
        <v>300000</v>
      </c>
      <c r="H17" s="276">
        <v>350000</v>
      </c>
      <c r="I17" s="276">
        <f>'[4]cc2006-2010'!I15</f>
        <v>141425.55204045697</v>
      </c>
      <c r="J17" s="279"/>
    </row>
    <row r="18" spans="1:10" s="281" customFormat="1" ht="30.75" customHeight="1" hidden="1">
      <c r="A18" s="272"/>
      <c r="B18" s="298"/>
      <c r="C18" s="274"/>
      <c r="D18" s="274">
        <v>170000</v>
      </c>
      <c r="E18" s="274">
        <v>210000</v>
      </c>
      <c r="F18" s="274">
        <v>260000</v>
      </c>
      <c r="G18" s="274">
        <v>300000</v>
      </c>
      <c r="H18" s="274">
        <v>350000</v>
      </c>
      <c r="I18" s="274">
        <f>+I21+I33+I53+I55</f>
        <v>141425.55204045697</v>
      </c>
      <c r="J18" s="279"/>
    </row>
    <row r="19" spans="1:10" s="281" customFormat="1" ht="36" customHeight="1" hidden="1">
      <c r="A19" s="272"/>
      <c r="B19" s="298"/>
      <c r="C19" s="274"/>
      <c r="D19" s="274">
        <v>45000</v>
      </c>
      <c r="E19" s="274">
        <v>45000</v>
      </c>
      <c r="F19" s="274">
        <v>45000</v>
      </c>
      <c r="G19" s="274">
        <v>45000</v>
      </c>
      <c r="H19" s="274">
        <v>45000</v>
      </c>
      <c r="I19" s="274"/>
      <c r="J19" s="279"/>
    </row>
    <row r="20" spans="1:10" s="281" customFormat="1" ht="45.75" customHeight="1" hidden="1">
      <c r="A20" s="272"/>
      <c r="B20" s="298"/>
      <c r="C20" s="299" t="e">
        <f aca="true" t="shared" si="0" ref="C20:H20">+C24+C26+C28+C30+C32+C36+C38+C40+C42+C44+C46+C48+C50+C52+C54+C56</f>
        <v>#REF!</v>
      </c>
      <c r="D20" s="299">
        <f t="shared" si="0"/>
        <v>100</v>
      </c>
      <c r="E20" s="299">
        <f t="shared" si="0"/>
        <v>100</v>
      </c>
      <c r="F20" s="299">
        <f t="shared" si="0"/>
        <v>100</v>
      </c>
      <c r="G20" s="299">
        <f t="shared" si="0"/>
        <v>100.00000000000001</v>
      </c>
      <c r="H20" s="299">
        <f t="shared" si="0"/>
        <v>100.00000000000001</v>
      </c>
      <c r="I20" s="274"/>
      <c r="J20" s="279"/>
    </row>
    <row r="21" spans="1:10" s="270" customFormat="1" ht="40.5" customHeight="1">
      <c r="A21" s="272" t="s">
        <v>214</v>
      </c>
      <c r="B21" s="298" t="s">
        <v>378</v>
      </c>
      <c r="C21" s="300" t="e">
        <f>+D21+E21+F21+G21+H21</f>
        <v>#REF!</v>
      </c>
      <c r="D21" s="300" t="e">
        <f aca="true" t="shared" si="1" ref="D21:I21">+D23+D25+D27+D29+D31</f>
        <v>#REF!</v>
      </c>
      <c r="E21" s="300" t="e">
        <f t="shared" si="1"/>
        <v>#REF!</v>
      </c>
      <c r="F21" s="300" t="e">
        <f t="shared" si="1"/>
        <v>#REF!</v>
      </c>
      <c r="G21" s="300" t="e">
        <f t="shared" si="1"/>
        <v>#REF!</v>
      </c>
      <c r="H21" s="300" t="e">
        <f t="shared" si="1"/>
        <v>#REF!</v>
      </c>
      <c r="I21" s="274">
        <f t="shared" si="1"/>
        <v>66858.44406704056</v>
      </c>
      <c r="J21" s="279"/>
    </row>
    <row r="22" spans="1:22" s="307" customFormat="1" ht="28.5" customHeight="1">
      <c r="A22" s="301"/>
      <c r="B22" s="302" t="s">
        <v>330</v>
      </c>
      <c r="C22" s="303" t="e">
        <f aca="true" t="shared" si="2" ref="C22:H22">100*C21/C$63</f>
        <v>#REF!</v>
      </c>
      <c r="D22" s="304" t="e">
        <f t="shared" si="2"/>
        <v>#REF!</v>
      </c>
      <c r="E22" s="303" t="e">
        <f t="shared" si="2"/>
        <v>#REF!</v>
      </c>
      <c r="F22" s="303" t="e">
        <f t="shared" si="2"/>
        <v>#REF!</v>
      </c>
      <c r="G22" s="303" t="e">
        <f t="shared" si="2"/>
        <v>#REF!</v>
      </c>
      <c r="H22" s="303" t="e">
        <f t="shared" si="2"/>
        <v>#REF!</v>
      </c>
      <c r="I22" s="303"/>
      <c r="J22" s="305"/>
      <c r="K22" s="306"/>
      <c r="M22" s="308"/>
      <c r="N22" s="306"/>
      <c r="P22" s="308"/>
      <c r="Q22" s="306"/>
      <c r="S22" s="308"/>
      <c r="T22" s="306"/>
      <c r="V22" s="308"/>
    </row>
    <row r="23" spans="1:20" ht="40.5" customHeight="1">
      <c r="A23" s="283">
        <v>1</v>
      </c>
      <c r="B23" s="293" t="s">
        <v>377</v>
      </c>
      <c r="C23" s="309" t="e">
        <f>+D23+E23+F23+G23+H23</f>
        <v>#REF!</v>
      </c>
      <c r="D23" s="310" t="e">
        <f>+D24*D$63/100</f>
        <v>#REF!</v>
      </c>
      <c r="E23" s="309" t="e">
        <f>+E24*E$63/100</f>
        <v>#REF!</v>
      </c>
      <c r="F23" s="309" t="e">
        <f>+F24*F$63/100</f>
        <v>#REF!</v>
      </c>
      <c r="G23" s="309" t="e">
        <f>+G24*G$63/100</f>
        <v>#REF!</v>
      </c>
      <c r="H23" s="309" t="e">
        <f>+H24*H$63/100</f>
        <v>#REF!</v>
      </c>
      <c r="I23" s="287">
        <f>+I24*I$17/100</f>
        <v>2137</v>
      </c>
      <c r="J23" s="311"/>
      <c r="K23" s="291"/>
      <c r="M23" s="292"/>
      <c r="N23" s="291"/>
      <c r="P23" s="292"/>
      <c r="Q23" s="291"/>
      <c r="S23" s="292"/>
      <c r="T23" s="291"/>
    </row>
    <row r="24" spans="1:22" s="307" customFormat="1" ht="22.5" customHeight="1">
      <c r="A24" s="301"/>
      <c r="B24" s="302" t="s">
        <v>330</v>
      </c>
      <c r="C24" s="303" t="e">
        <f>100*C23/C$63</f>
        <v>#REF!</v>
      </c>
      <c r="D24" s="304">
        <v>4.3</v>
      </c>
      <c r="E24" s="303">
        <v>4.2</v>
      </c>
      <c r="F24" s="303">
        <v>4.1</v>
      </c>
      <c r="G24" s="303">
        <v>4</v>
      </c>
      <c r="H24" s="303">
        <v>3.9</v>
      </c>
      <c r="I24" s="312">
        <f>'[4]cc2006-2010'!I32</f>
        <v>1.5110423605690986</v>
      </c>
      <c r="J24" s="305"/>
      <c r="K24" s="306"/>
      <c r="M24" s="308"/>
      <c r="N24" s="306"/>
      <c r="P24" s="308"/>
      <c r="Q24" s="306"/>
      <c r="S24" s="308"/>
      <c r="T24" s="306"/>
      <c r="V24" s="308"/>
    </row>
    <row r="25" spans="1:20" ht="40.5" customHeight="1">
      <c r="A25" s="283">
        <f>+A23+1</f>
        <v>2</v>
      </c>
      <c r="B25" s="293" t="s">
        <v>376</v>
      </c>
      <c r="C25" s="309" t="e">
        <f>+D25+E25+F25+G25+H25</f>
        <v>#REF!</v>
      </c>
      <c r="D25" s="309" t="e">
        <f>+D26*D$63/100</f>
        <v>#REF!</v>
      </c>
      <c r="E25" s="309" t="e">
        <f>+E26*E$63/100</f>
        <v>#REF!</v>
      </c>
      <c r="F25" s="309" t="e">
        <f>+F26*F$63/100</f>
        <v>#REF!</v>
      </c>
      <c r="G25" s="309" t="e">
        <f>+G26*G$63/100</f>
        <v>#REF!</v>
      </c>
      <c r="H25" s="309" t="e">
        <f>+H26*H$63/100</f>
        <v>#REF!</v>
      </c>
      <c r="I25" s="287">
        <f>+I26*I$17/100</f>
        <v>29715.15436937331</v>
      </c>
      <c r="J25" s="290"/>
      <c r="K25" s="291"/>
      <c r="M25" s="292"/>
      <c r="N25" s="291"/>
      <c r="P25" s="292"/>
      <c r="Q25" s="291"/>
      <c r="S25" s="292"/>
      <c r="T25" s="291"/>
    </row>
    <row r="26" spans="1:22" s="307" customFormat="1" ht="22.5" customHeight="1">
      <c r="A26" s="301"/>
      <c r="B26" s="302" t="s">
        <v>330</v>
      </c>
      <c r="C26" s="303" t="e">
        <f>100*C25/C$63</f>
        <v>#REF!</v>
      </c>
      <c r="D26" s="304">
        <v>21.5</v>
      </c>
      <c r="E26" s="303">
        <v>21.6</v>
      </c>
      <c r="F26" s="303">
        <v>21.7</v>
      </c>
      <c r="G26" s="303">
        <v>21.8</v>
      </c>
      <c r="H26" s="303">
        <v>21.8</v>
      </c>
      <c r="I26" s="312">
        <f>'[4]cc2006-2010'!I69</f>
        <v>21.011163782392615</v>
      </c>
      <c r="J26" s="313"/>
      <c r="K26" s="306"/>
      <c r="M26" s="308"/>
      <c r="N26" s="306"/>
      <c r="P26" s="308"/>
      <c r="Q26" s="306"/>
      <c r="S26" s="308"/>
      <c r="T26" s="306"/>
      <c r="V26" s="308"/>
    </row>
    <row r="27" spans="1:10" ht="40.5" customHeight="1">
      <c r="A27" s="283">
        <f>+A25+1</f>
        <v>3</v>
      </c>
      <c r="B27" s="293" t="s">
        <v>375</v>
      </c>
      <c r="C27" s="309" t="e">
        <f>+D27+E27+F27+G27+H27</f>
        <v>#REF!</v>
      </c>
      <c r="D27" s="309" t="e">
        <f>+D28*D$63/100</f>
        <v>#REF!</v>
      </c>
      <c r="E27" s="309" t="e">
        <f>+E28*E$63/100</f>
        <v>#REF!</v>
      </c>
      <c r="F27" s="309" t="e">
        <f>+F28*F$63/100</f>
        <v>#REF!</v>
      </c>
      <c r="G27" s="309" t="e">
        <f>+G28*G$63/100</f>
        <v>#REF!</v>
      </c>
      <c r="H27" s="309" t="e">
        <f>+H28*H$63/100</f>
        <v>#REF!</v>
      </c>
      <c r="I27" s="287">
        <f>+I28*I$17/100</f>
        <v>32348.157614015763</v>
      </c>
      <c r="J27" s="290"/>
    </row>
    <row r="28" spans="1:10" s="307" customFormat="1" ht="22.5" customHeight="1">
      <c r="A28" s="301"/>
      <c r="B28" s="314" t="s">
        <v>330</v>
      </c>
      <c r="C28" s="303" t="e">
        <f>100*C27/C$63</f>
        <v>#REF!</v>
      </c>
      <c r="D28" s="303">
        <v>28.3</v>
      </c>
      <c r="E28" s="303">
        <v>28.5</v>
      </c>
      <c r="F28" s="303">
        <v>28.7</v>
      </c>
      <c r="G28" s="303">
        <v>28.9</v>
      </c>
      <c r="H28" s="303">
        <v>30</v>
      </c>
      <c r="I28" s="312">
        <f>'[4]cc2006-2010'!I101</f>
        <v>22.87292299538776</v>
      </c>
      <c r="J28" s="313"/>
    </row>
    <row r="29" spans="1:10" ht="39.75" customHeight="1">
      <c r="A29" s="283">
        <f>+A27+1</f>
        <v>4</v>
      </c>
      <c r="B29" s="293" t="s">
        <v>341</v>
      </c>
      <c r="C29" s="309" t="e">
        <f>+D29+E29+F29+G29+H29</f>
        <v>#REF!</v>
      </c>
      <c r="D29" s="309" t="e">
        <f>+D30*D$63/100</f>
        <v>#REF!</v>
      </c>
      <c r="E29" s="309" t="e">
        <f>+E30*E$63/100</f>
        <v>#REF!</v>
      </c>
      <c r="F29" s="309" t="e">
        <f>+F30*F$63/100</f>
        <v>#REF!</v>
      </c>
      <c r="G29" s="309" t="e">
        <f>+G30*G$63/100</f>
        <v>#REF!</v>
      </c>
      <c r="H29" s="309" t="e">
        <f>+H30*H$63/100</f>
        <v>#REF!</v>
      </c>
      <c r="I29" s="287">
        <f>+I30*I$17/100</f>
        <v>1558.5831768189735</v>
      </c>
      <c r="J29" s="290"/>
    </row>
    <row r="30" spans="1:10" s="307" customFormat="1" ht="22.5" customHeight="1">
      <c r="A30" s="301"/>
      <c r="B30" s="314" t="s">
        <v>330</v>
      </c>
      <c r="C30" s="303" t="e">
        <f>100*C29/C$63</f>
        <v>#REF!</v>
      </c>
      <c r="D30" s="303">
        <v>1</v>
      </c>
      <c r="E30" s="303">
        <v>0.9</v>
      </c>
      <c r="F30" s="303">
        <v>0.8</v>
      </c>
      <c r="G30" s="303">
        <v>0.7</v>
      </c>
      <c r="H30" s="303">
        <v>0.5</v>
      </c>
      <c r="I30" s="312">
        <f>'[4]cc2006-2010'!I117</f>
        <v>1.1020520368010418</v>
      </c>
      <c r="J30" s="313"/>
    </row>
    <row r="31" spans="1:10" ht="40.5" customHeight="1">
      <c r="A31" s="283">
        <f>+A29+1</f>
        <v>5</v>
      </c>
      <c r="B31" s="293" t="s">
        <v>374</v>
      </c>
      <c r="C31" s="309" t="e">
        <f>+D31+E31+F31+G31+H31</f>
        <v>#REF!</v>
      </c>
      <c r="D31" s="309" t="e">
        <f>+D32*D$63/100</f>
        <v>#REF!</v>
      </c>
      <c r="E31" s="309" t="e">
        <f>+E32*E$63/100</f>
        <v>#REF!</v>
      </c>
      <c r="F31" s="309" t="e">
        <f>+F32*F$63/100</f>
        <v>#REF!</v>
      </c>
      <c r="G31" s="309" t="e">
        <f>+G32*G$63/100</f>
        <v>#REF!</v>
      </c>
      <c r="H31" s="309" t="e">
        <f>+H32*H$63/100</f>
        <v>#REF!</v>
      </c>
      <c r="I31" s="287">
        <f>+I32*I$17/100</f>
        <v>1099.548906832512</v>
      </c>
      <c r="J31" s="290"/>
    </row>
    <row r="32" spans="1:10" s="307" customFormat="1" ht="22.5" customHeight="1">
      <c r="A32" s="301"/>
      <c r="B32" s="314" t="s">
        <v>330</v>
      </c>
      <c r="C32" s="303" t="e">
        <f>100*C31/C$63</f>
        <v>#REF!</v>
      </c>
      <c r="D32" s="303">
        <v>0.8</v>
      </c>
      <c r="E32" s="303">
        <v>0.7</v>
      </c>
      <c r="F32" s="303">
        <v>0.6</v>
      </c>
      <c r="G32" s="303">
        <v>0.5</v>
      </c>
      <c r="H32" s="303">
        <v>0.4</v>
      </c>
      <c r="I32" s="312">
        <f>'[4]cc2006-2010'!I126</f>
        <v>0.7774754214980679</v>
      </c>
      <c r="J32" s="313"/>
    </row>
    <row r="33" spans="1:16" s="270" customFormat="1" ht="40.5" customHeight="1">
      <c r="A33" s="272" t="s">
        <v>215</v>
      </c>
      <c r="B33" s="298" t="s">
        <v>373</v>
      </c>
      <c r="C33" s="300" t="e">
        <f>+D33+E33+F33+G33+H33</f>
        <v>#REF!</v>
      </c>
      <c r="D33" s="300" t="e">
        <f aca="true" t="shared" si="3" ref="D33:I33">+D35+D37+D39+D41+D43+D45+D47+D49+D51</f>
        <v>#REF!</v>
      </c>
      <c r="E33" s="300" t="e">
        <f t="shared" si="3"/>
        <v>#REF!</v>
      </c>
      <c r="F33" s="300" t="e">
        <f t="shared" si="3"/>
        <v>#REF!</v>
      </c>
      <c r="G33" s="300" t="e">
        <f t="shared" si="3"/>
        <v>#REF!</v>
      </c>
      <c r="H33" s="300" t="e">
        <f t="shared" si="3"/>
        <v>#REF!</v>
      </c>
      <c r="I33" s="274">
        <f t="shared" si="3"/>
        <v>68161.3079734164</v>
      </c>
      <c r="J33" s="279"/>
      <c r="M33" s="270" t="s">
        <v>372</v>
      </c>
      <c r="N33" s="270" t="s">
        <v>370</v>
      </c>
      <c r="O33" s="270" t="s">
        <v>369</v>
      </c>
      <c r="P33" s="270" t="s">
        <v>367</v>
      </c>
    </row>
    <row r="34" spans="1:10" s="307" customFormat="1" ht="24" customHeight="1">
      <c r="A34" s="301"/>
      <c r="B34" s="314" t="s">
        <v>330</v>
      </c>
      <c r="C34" s="303" t="e">
        <f aca="true" t="shared" si="4" ref="C34:H34">100*C33/C$63</f>
        <v>#REF!</v>
      </c>
      <c r="D34" s="303" t="e">
        <f t="shared" si="4"/>
        <v>#REF!</v>
      </c>
      <c r="E34" s="303" t="e">
        <f t="shared" si="4"/>
        <v>#REF!</v>
      </c>
      <c r="F34" s="303" t="e">
        <f t="shared" si="4"/>
        <v>#REF!</v>
      </c>
      <c r="G34" s="303" t="e">
        <f t="shared" si="4"/>
        <v>#REF!</v>
      </c>
      <c r="H34" s="303" t="e">
        <f t="shared" si="4"/>
        <v>#REF!</v>
      </c>
      <c r="I34" s="303"/>
      <c r="J34" s="313"/>
    </row>
    <row r="35" spans="1:13" ht="40.5" customHeight="1">
      <c r="A35" s="283">
        <f>+A31+1</f>
        <v>6</v>
      </c>
      <c r="B35" s="293" t="s">
        <v>371</v>
      </c>
      <c r="C35" s="309" t="e">
        <f>+D35+E35+F35+G35+H35</f>
        <v>#REF!</v>
      </c>
      <c r="D35" s="309" t="e">
        <f>+D36*D$63/100</f>
        <v>#REF!</v>
      </c>
      <c r="E35" s="309" t="e">
        <f>+E36*E$63/100</f>
        <v>#REF!</v>
      </c>
      <c r="F35" s="309" t="e">
        <f>+F36*F$63/100</f>
        <v>#REF!</v>
      </c>
      <c r="G35" s="309" t="e">
        <f>+G36*G$63/100</f>
        <v>#REF!</v>
      </c>
      <c r="H35" s="309" t="e">
        <f>+H36*H$63/100</f>
        <v>#REF!</v>
      </c>
      <c r="I35" s="287">
        <f>+I36*I$17/100</f>
        <v>5609.594388896713</v>
      </c>
      <c r="J35" s="290"/>
      <c r="L35" s="245" t="s">
        <v>370</v>
      </c>
      <c r="M35" s="245">
        <v>0.1</v>
      </c>
    </row>
    <row r="36" spans="1:13" s="307" customFormat="1" ht="22.5" customHeight="1">
      <c r="A36" s="301"/>
      <c r="B36" s="314" t="s">
        <v>330</v>
      </c>
      <c r="C36" s="303" t="e">
        <f>100*C35/C$63</f>
        <v>#REF!</v>
      </c>
      <c r="D36" s="303">
        <v>3</v>
      </c>
      <c r="E36" s="303">
        <v>3</v>
      </c>
      <c r="F36" s="303">
        <v>3</v>
      </c>
      <c r="G36" s="303">
        <v>3</v>
      </c>
      <c r="H36" s="303">
        <v>3</v>
      </c>
      <c r="I36" s="312">
        <f>'[4]cc2006-2010'!I138</f>
        <v>3.9664645518173423</v>
      </c>
      <c r="J36" s="313"/>
      <c r="L36" s="307" t="s">
        <v>369</v>
      </c>
      <c r="M36" s="307">
        <v>0.25</v>
      </c>
    </row>
    <row r="37" spans="1:13" ht="40.5" customHeight="1">
      <c r="A37" s="283">
        <f>+A35+1</f>
        <v>7</v>
      </c>
      <c r="B37" s="293" t="s">
        <v>368</v>
      </c>
      <c r="C37" s="309" t="e">
        <f>+D37+E37+F37+G37+H37</f>
        <v>#REF!</v>
      </c>
      <c r="D37" s="309" t="e">
        <f>+D38*D$63/100</f>
        <v>#REF!</v>
      </c>
      <c r="E37" s="309" t="e">
        <f>+E38*E$63/100</f>
        <v>#REF!</v>
      </c>
      <c r="F37" s="309" t="e">
        <f>+F38*F$63/100</f>
        <v>#REF!</v>
      </c>
      <c r="G37" s="309" t="e">
        <f>+G38*G$63/100</f>
        <v>#REF!</v>
      </c>
      <c r="H37" s="309" t="e">
        <f>+H38*H$63/100</f>
        <v>#REF!</v>
      </c>
      <c r="I37" s="287">
        <f>+I38*I$17/100</f>
        <v>5019.7</v>
      </c>
      <c r="J37" s="290"/>
      <c r="L37" s="245" t="s">
        <v>367</v>
      </c>
      <c r="M37" s="245">
        <v>0.55</v>
      </c>
    </row>
    <row r="38" spans="1:10" s="307" customFormat="1" ht="22.5" customHeight="1">
      <c r="A38" s="301"/>
      <c r="B38" s="314" t="s">
        <v>330</v>
      </c>
      <c r="C38" s="303" t="e">
        <f>100*C37/C$63</f>
        <v>#REF!</v>
      </c>
      <c r="D38" s="303">
        <v>2.8</v>
      </c>
      <c r="E38" s="303">
        <v>3</v>
      </c>
      <c r="F38" s="303">
        <v>3.2</v>
      </c>
      <c r="G38" s="303">
        <v>3.3</v>
      </c>
      <c r="H38" s="303">
        <v>3.4</v>
      </c>
      <c r="I38" s="312">
        <f>'[4]cc2006-2010'!I153</f>
        <v>3.549358604281097</v>
      </c>
      <c r="J38" s="313"/>
    </row>
    <row r="39" spans="1:22" ht="40.5" customHeight="1">
      <c r="A39" s="283">
        <f>+A37+1</f>
        <v>8</v>
      </c>
      <c r="B39" s="284" t="s">
        <v>366</v>
      </c>
      <c r="C39" s="309" t="e">
        <f>+D39+E39+F39+G39+H39</f>
        <v>#REF!</v>
      </c>
      <c r="D39" s="310" t="e">
        <f>+D40*D$63/100</f>
        <v>#REF!</v>
      </c>
      <c r="E39" s="309" t="e">
        <f>+E40*E$63/100</f>
        <v>#REF!</v>
      </c>
      <c r="F39" s="309" t="e">
        <f>+F40*F$63/100</f>
        <v>#REF!</v>
      </c>
      <c r="G39" s="309" t="e">
        <f>+G40*G$63/100</f>
        <v>#REF!</v>
      </c>
      <c r="H39" s="309" t="e">
        <f>+H40*H$63/100</f>
        <v>#REF!</v>
      </c>
      <c r="I39" s="287">
        <f>+I40*I$17/100</f>
        <v>2954.3022918643965</v>
      </c>
      <c r="J39" s="290"/>
      <c r="K39" s="291"/>
      <c r="M39" s="292"/>
      <c r="N39" s="291"/>
      <c r="P39" s="292"/>
      <c r="Q39" s="291"/>
      <c r="S39" s="292"/>
      <c r="T39" s="291"/>
      <c r="V39" s="292"/>
    </row>
    <row r="40" spans="1:10" s="307" customFormat="1" ht="22.5" customHeight="1">
      <c r="A40" s="301"/>
      <c r="B40" s="314" t="s">
        <v>330</v>
      </c>
      <c r="C40" s="303" t="e">
        <f>100*C39/C$63</f>
        <v>#REF!</v>
      </c>
      <c r="D40" s="303">
        <v>1.7</v>
      </c>
      <c r="E40" s="303">
        <v>1.7</v>
      </c>
      <c r="F40" s="303">
        <v>1.8</v>
      </c>
      <c r="G40" s="303">
        <v>1.9</v>
      </c>
      <c r="H40" s="303">
        <v>1.9</v>
      </c>
      <c r="I40" s="312">
        <f>'[4]cc2006-2010'!I162</f>
        <v>2.0889452077367694</v>
      </c>
      <c r="J40" s="313"/>
    </row>
    <row r="41" spans="1:12" ht="40.5" customHeight="1">
      <c r="A41" s="283">
        <f>+A39+1</f>
        <v>9</v>
      </c>
      <c r="B41" s="293" t="s">
        <v>347</v>
      </c>
      <c r="C41" s="309" t="e">
        <f>+D41+E41+F41+G41+H41</f>
        <v>#REF!</v>
      </c>
      <c r="D41" s="309" t="e">
        <f>+D42*D$63/100</f>
        <v>#REF!</v>
      </c>
      <c r="E41" s="309" t="e">
        <f>+E42*E$63/100</f>
        <v>#REF!</v>
      </c>
      <c r="F41" s="309" t="e">
        <f>+F42*F$63/100</f>
        <v>#REF!</v>
      </c>
      <c r="G41" s="309" t="e">
        <f>+G42*G$63/100</f>
        <v>#REF!</v>
      </c>
      <c r="H41" s="309" t="e">
        <f>+H42*H$63/100</f>
        <v>#REF!</v>
      </c>
      <c r="I41" s="287">
        <f>+I42*I$17/100</f>
        <v>24837.7</v>
      </c>
      <c r="J41" s="290"/>
      <c r="L41" s="245" t="s">
        <v>365</v>
      </c>
    </row>
    <row r="42" spans="1:10" s="307" customFormat="1" ht="22.5" customHeight="1">
      <c r="A42" s="301"/>
      <c r="B42" s="314" t="s">
        <v>330</v>
      </c>
      <c r="C42" s="303" t="e">
        <f>100*C41/C$63</f>
        <v>#REF!</v>
      </c>
      <c r="D42" s="303">
        <v>15.8</v>
      </c>
      <c r="E42" s="303">
        <v>16</v>
      </c>
      <c r="F42" s="303">
        <v>16.2</v>
      </c>
      <c r="G42" s="303">
        <v>16.4</v>
      </c>
      <c r="H42" s="303">
        <v>16.5</v>
      </c>
      <c r="I42" s="312">
        <f>'[4]cc2006-2010'!I190</f>
        <v>17.562385044037015</v>
      </c>
      <c r="J42" s="313"/>
    </row>
    <row r="43" spans="1:13" ht="40.5" customHeight="1">
      <c r="A43" s="283">
        <f>+A41+1</f>
        <v>10</v>
      </c>
      <c r="B43" s="293" t="s">
        <v>364</v>
      </c>
      <c r="C43" s="309" t="e">
        <f>+D43+E43+F43+G43+H43</f>
        <v>#REF!</v>
      </c>
      <c r="D43" s="309" t="e">
        <f>+D44*D$63/100</f>
        <v>#REF!</v>
      </c>
      <c r="E43" s="309" t="e">
        <f>+E44*E$63/100</f>
        <v>#REF!</v>
      </c>
      <c r="F43" s="309" t="e">
        <f>+F44*F$63/100</f>
        <v>#REF!</v>
      </c>
      <c r="G43" s="309" t="e">
        <f>+G44*G$63/100</f>
        <v>#REF!</v>
      </c>
      <c r="H43" s="309" t="e">
        <f>+H44*H$63/100</f>
        <v>#REF!</v>
      </c>
      <c r="I43" s="287">
        <f>+I44*I$17/100</f>
        <v>8018.572504599956</v>
      </c>
      <c r="J43" s="290"/>
      <c r="K43" s="245" t="s">
        <v>364</v>
      </c>
      <c r="L43" s="245">
        <f>+'[4]cc2010'!C154</f>
        <v>5678.5351351351355</v>
      </c>
      <c r="M43" s="245">
        <f>+L43/(L43+L45)</f>
        <v>0.6189692805260986</v>
      </c>
    </row>
    <row r="44" spans="1:10" s="307" customFormat="1" ht="22.5" customHeight="1">
      <c r="A44" s="301"/>
      <c r="B44" s="314" t="s">
        <v>330</v>
      </c>
      <c r="C44" s="303" t="e">
        <f>100*C43/C$63</f>
        <v>#REF!</v>
      </c>
      <c r="D44" s="303">
        <v>6.1</v>
      </c>
      <c r="E44" s="303">
        <v>6</v>
      </c>
      <c r="F44" s="303">
        <v>5.9</v>
      </c>
      <c r="G44" s="303">
        <v>5.9</v>
      </c>
      <c r="H44" s="303">
        <v>5.8</v>
      </c>
      <c r="I44" s="312">
        <f>'[4]cc2006-2010'!I212</f>
        <v>5.669818776670653</v>
      </c>
      <c r="J44" s="313"/>
    </row>
    <row r="45" spans="1:13" ht="40.5" customHeight="1">
      <c r="A45" s="283">
        <f>+A43+1</f>
        <v>11</v>
      </c>
      <c r="B45" s="293" t="s">
        <v>363</v>
      </c>
      <c r="C45" s="309" t="e">
        <f>+D45+E45+F45+G45+H45</f>
        <v>#REF!</v>
      </c>
      <c r="D45" s="309" t="e">
        <f>+D46*D$63/100</f>
        <v>#REF!</v>
      </c>
      <c r="E45" s="309" t="e">
        <f>+E46*E$63/100</f>
        <v>#REF!</v>
      </c>
      <c r="F45" s="309" t="e">
        <f>+F46*F$63/100</f>
        <v>#REF!</v>
      </c>
      <c r="G45" s="309" t="e">
        <f>+G46*G$63/100</f>
        <v>#REF!</v>
      </c>
      <c r="H45" s="309" t="e">
        <f>+H46*H$63/100</f>
        <v>#REF!</v>
      </c>
      <c r="I45" s="287">
        <f>+I46*I$17/100</f>
        <v>5461.431251255277</v>
      </c>
      <c r="J45" s="290"/>
      <c r="K45" s="245" t="s">
        <v>363</v>
      </c>
      <c r="L45" s="245">
        <f>+'[4]cc2010'!C170</f>
        <v>3495.644123500466</v>
      </c>
      <c r="M45" s="245">
        <f>+L45/(L43+L45)</f>
        <v>0.38103071947390127</v>
      </c>
    </row>
    <row r="46" spans="1:10" s="307" customFormat="1" ht="24.75" customHeight="1">
      <c r="A46" s="301"/>
      <c r="B46" s="314" t="s">
        <v>330</v>
      </c>
      <c r="C46" s="303" t="e">
        <f>100*C45/C$63</f>
        <v>#REF!</v>
      </c>
      <c r="D46" s="303">
        <v>2.8</v>
      </c>
      <c r="E46" s="303">
        <v>2.9</v>
      </c>
      <c r="F46" s="303">
        <v>2.9</v>
      </c>
      <c r="G46" s="303">
        <v>3</v>
      </c>
      <c r="H46" s="303">
        <v>3</v>
      </c>
      <c r="I46" s="312">
        <f>'[4]cc2006-2010'!I236</f>
        <v>3.861700500693786</v>
      </c>
      <c r="J46" s="313"/>
    </row>
    <row r="47" spans="1:12" ht="40.5" customHeight="1">
      <c r="A47" s="283">
        <v>12</v>
      </c>
      <c r="B47" s="293" t="s">
        <v>362</v>
      </c>
      <c r="C47" s="309" t="e">
        <f>+D47+E47+F47+G47+H47</f>
        <v>#REF!</v>
      </c>
      <c r="D47" s="309" t="e">
        <f>+D48*D$63/100</f>
        <v>#REF!</v>
      </c>
      <c r="E47" s="309" t="e">
        <f>+E48*E$63/100</f>
        <v>#REF!</v>
      </c>
      <c r="F47" s="309" t="e">
        <f>+F48*F$63/100</f>
        <v>#REF!</v>
      </c>
      <c r="G47" s="309" t="e">
        <f>+G48*G$63/100</f>
        <v>#REF!</v>
      </c>
      <c r="H47" s="309" t="e">
        <f>+H48*H$63/100</f>
        <v>#REF!</v>
      </c>
      <c r="I47" s="287">
        <f>+I48*I$17/100</f>
        <v>3899.979185976318</v>
      </c>
      <c r="J47" s="290"/>
      <c r="K47" s="245" t="s">
        <v>361</v>
      </c>
      <c r="L47" s="245">
        <f>+'[4]cc2010'!H192+'[4]cc2010'!H211</f>
        <v>4522.533988113533</v>
      </c>
    </row>
    <row r="48" spans="1:13" s="307" customFormat="1" ht="22.5" customHeight="1">
      <c r="A48" s="301"/>
      <c r="B48" s="314" t="s">
        <v>330</v>
      </c>
      <c r="C48" s="303" t="e">
        <f>100*C47/C$63</f>
        <v>#REF!</v>
      </c>
      <c r="D48" s="303">
        <v>1.9</v>
      </c>
      <c r="E48" s="303">
        <v>1.8</v>
      </c>
      <c r="F48" s="303">
        <v>1.7</v>
      </c>
      <c r="G48" s="303">
        <v>1.5</v>
      </c>
      <c r="H48" s="303">
        <v>1.2</v>
      </c>
      <c r="I48" s="312">
        <f>'[4]cc2006-2010'!I270</f>
        <v>2.7576199135928907</v>
      </c>
      <c r="J48" s="313"/>
      <c r="K48" s="245" t="s">
        <v>360</v>
      </c>
      <c r="L48" s="307">
        <f>+'[4]cc2010'!H192-580</f>
        <v>3116.5592327232416</v>
      </c>
      <c r="M48" s="307">
        <f>+L48/L47</f>
        <v>0.6891179239148714</v>
      </c>
    </row>
    <row r="49" spans="1:13" ht="40.5" customHeight="1">
      <c r="A49" s="283">
        <v>13</v>
      </c>
      <c r="B49" s="293" t="s">
        <v>359</v>
      </c>
      <c r="C49" s="309" t="e">
        <f>+D49+E49+F49+G49+H49</f>
        <v>#REF!</v>
      </c>
      <c r="D49" s="309" t="e">
        <f>+D50*D$63/100</f>
        <v>#REF!</v>
      </c>
      <c r="E49" s="309" t="e">
        <f>+E50*E$63/100</f>
        <v>#REF!</v>
      </c>
      <c r="F49" s="309" t="e">
        <f>+F50*F$63/100</f>
        <v>#REF!</v>
      </c>
      <c r="G49" s="309" t="e">
        <f>+G50*G$63/100</f>
        <v>#REF!</v>
      </c>
      <c r="H49" s="309" t="e">
        <f>+H50*H$63/100</f>
        <v>#REF!</v>
      </c>
      <c r="I49" s="287">
        <f>+I50*I$17/100</f>
        <v>1089.2936307293148</v>
      </c>
      <c r="J49" s="290"/>
      <c r="K49" s="245" t="s">
        <v>358</v>
      </c>
      <c r="L49" s="307">
        <f>+'[4]cc2010'!H211+580</f>
        <v>1405.9747553902912</v>
      </c>
      <c r="M49" s="245">
        <f>+L49/L47</f>
        <v>0.3108820760851285</v>
      </c>
    </row>
    <row r="50" spans="1:10" s="307" customFormat="1" ht="22.5" customHeight="1">
      <c r="A50" s="301"/>
      <c r="B50" s="314" t="s">
        <v>330</v>
      </c>
      <c r="C50" s="303" t="e">
        <f>100*C49/C$63</f>
        <v>#REF!</v>
      </c>
      <c r="D50" s="303">
        <v>0.8</v>
      </c>
      <c r="E50" s="303">
        <v>0.7</v>
      </c>
      <c r="F50" s="303">
        <v>0.6</v>
      </c>
      <c r="G50" s="303">
        <v>0.5</v>
      </c>
      <c r="H50" s="303">
        <v>0.4</v>
      </c>
      <c r="I50" s="312">
        <f>'[4]cc2006-2010'!I275</f>
        <v>0.7702240613617725</v>
      </c>
      <c r="J50" s="313"/>
    </row>
    <row r="51" spans="1:10" ht="40.5" customHeight="1">
      <c r="A51" s="283">
        <f>+A49+1</f>
        <v>14</v>
      </c>
      <c r="B51" s="293" t="s">
        <v>357</v>
      </c>
      <c r="C51" s="309" t="e">
        <f>+D51+E51+F51+G51+H51</f>
        <v>#REF!</v>
      </c>
      <c r="D51" s="309" t="e">
        <f>+D52*D$63/100</f>
        <v>#REF!</v>
      </c>
      <c r="E51" s="309" t="e">
        <f>+E52*E$63/100</f>
        <v>#REF!</v>
      </c>
      <c r="F51" s="309" t="e">
        <f>+F52*F$63/100</f>
        <v>#REF!</v>
      </c>
      <c r="G51" s="309" t="e">
        <f>+G52*G$63/100</f>
        <v>#REF!</v>
      </c>
      <c r="H51" s="309" t="e">
        <f>+H52*H$63/100</f>
        <v>#REF!</v>
      </c>
      <c r="I51" s="287">
        <f>+I52*I$17/100</f>
        <v>11270.734720094428</v>
      </c>
      <c r="J51" s="290"/>
    </row>
    <row r="52" spans="1:10" s="307" customFormat="1" ht="22.5" customHeight="1">
      <c r="A52" s="301"/>
      <c r="B52" s="314" t="s">
        <v>330</v>
      </c>
      <c r="C52" s="303" t="e">
        <f>100*C51/C$63</f>
        <v>#REF!</v>
      </c>
      <c r="D52" s="303">
        <v>6</v>
      </c>
      <c r="E52" s="303">
        <v>5.8</v>
      </c>
      <c r="F52" s="303">
        <v>5.6</v>
      </c>
      <c r="G52" s="303">
        <v>5.4</v>
      </c>
      <c r="H52" s="303">
        <v>5</v>
      </c>
      <c r="I52" s="312">
        <f>'[4]cc2006-2010'!I294</f>
        <v>7.96937650762732</v>
      </c>
      <c r="J52" s="313"/>
    </row>
    <row r="53" spans="1:13" s="270" customFormat="1" ht="40.5" customHeight="1">
      <c r="A53" s="272" t="s">
        <v>228</v>
      </c>
      <c r="B53" s="298" t="s">
        <v>356</v>
      </c>
      <c r="C53" s="300" t="e">
        <f>+D53+E53+F53+G53+H53</f>
        <v>#REF!</v>
      </c>
      <c r="D53" s="315" t="e">
        <f>+D54*D$63/100</f>
        <v>#REF!</v>
      </c>
      <c r="E53" s="315" t="e">
        <f>+E54*E$63/100</f>
        <v>#REF!</v>
      </c>
      <c r="F53" s="315" t="e">
        <f>+F54*F$63/100</f>
        <v>#REF!</v>
      </c>
      <c r="G53" s="315" t="e">
        <f>+G54*G$63/100</f>
        <v>#REF!</v>
      </c>
      <c r="H53" s="315" t="e">
        <f>+H54*H$63/100</f>
        <v>#REF!</v>
      </c>
      <c r="I53" s="276">
        <f>+I54*I$17/100</f>
        <v>4635.8</v>
      </c>
      <c r="J53" s="279"/>
      <c r="K53" s="270" t="s">
        <v>356</v>
      </c>
      <c r="L53" s="270">
        <v>3150</v>
      </c>
      <c r="M53" s="245">
        <f>+L53/(L53+L55)</f>
        <v>0.7682926829268293</v>
      </c>
    </row>
    <row r="54" spans="1:10" s="307" customFormat="1" ht="22.5" customHeight="1">
      <c r="A54" s="301"/>
      <c r="B54" s="314" t="s">
        <v>330</v>
      </c>
      <c r="C54" s="303" t="e">
        <f>100*C53/C$63</f>
        <v>#REF!</v>
      </c>
      <c r="D54" s="303">
        <v>2.4</v>
      </c>
      <c r="E54" s="303">
        <v>2.4</v>
      </c>
      <c r="F54" s="303">
        <v>2.4</v>
      </c>
      <c r="G54" s="303">
        <v>2.4</v>
      </c>
      <c r="H54" s="303">
        <v>2.4</v>
      </c>
      <c r="I54" s="312">
        <f>'[4]cc2006-2010'!I302</f>
        <v>3.2779083645887823</v>
      </c>
      <c r="J54" s="313"/>
    </row>
    <row r="55" spans="1:13" s="270" customFormat="1" ht="40.5" customHeight="1">
      <c r="A55" s="272" t="s">
        <v>229</v>
      </c>
      <c r="B55" s="298" t="s">
        <v>355</v>
      </c>
      <c r="C55" s="300" t="e">
        <f>+D55+E55+F55+G55+H55</f>
        <v>#REF!</v>
      </c>
      <c r="D55" s="315" t="e">
        <f>+D56*D$63/100</f>
        <v>#REF!</v>
      </c>
      <c r="E55" s="315" t="e">
        <f>+E56*E$63/100</f>
        <v>#REF!</v>
      </c>
      <c r="F55" s="315" t="e">
        <f>+F56*F$63/100</f>
        <v>#REF!</v>
      </c>
      <c r="G55" s="315" t="e">
        <f>+G56*G$63/100</f>
        <v>#REF!</v>
      </c>
      <c r="H55" s="315" t="e">
        <f>+H56*H$63/100</f>
        <v>#REF!</v>
      </c>
      <c r="I55" s="276">
        <f>+I56*I$17/100</f>
        <v>1770</v>
      </c>
      <c r="J55" s="279"/>
      <c r="K55" s="270" t="s">
        <v>355</v>
      </c>
      <c r="L55" s="270">
        <v>950</v>
      </c>
      <c r="M55" s="270">
        <f>+L55/(L53+L55)</f>
        <v>0.23170731707317074</v>
      </c>
    </row>
    <row r="56" spans="1:10" s="307" customFormat="1" ht="22.5" customHeight="1">
      <c r="A56" s="301"/>
      <c r="B56" s="314" t="s">
        <v>330</v>
      </c>
      <c r="C56" s="303" t="e">
        <f>100*C55/C$63</f>
        <v>#REF!</v>
      </c>
      <c r="D56" s="303">
        <v>0.8</v>
      </c>
      <c r="E56" s="303">
        <v>0.8</v>
      </c>
      <c r="F56" s="303">
        <v>0.8</v>
      </c>
      <c r="G56" s="303">
        <v>0.8</v>
      </c>
      <c r="H56" s="303">
        <v>0.8</v>
      </c>
      <c r="I56" s="312">
        <f>'[4]cc2006-2010'!I310</f>
        <v>1.251541870943989</v>
      </c>
      <c r="J56" s="313"/>
    </row>
    <row r="57" spans="1:12" s="270" customFormat="1" ht="40.5" customHeight="1" hidden="1">
      <c r="A57" s="316" t="s">
        <v>229</v>
      </c>
      <c r="B57" s="317" t="s">
        <v>354</v>
      </c>
      <c r="C57" s="318">
        <f>'[4]cc2006-2010'!C311</f>
        <v>0</v>
      </c>
      <c r="D57" s="319">
        <f>'[4]cc2006-2010'!D311</f>
        <v>943</v>
      </c>
      <c r="E57" s="319">
        <f>'[4]cc2006-2010'!E311</f>
        <v>889.56</v>
      </c>
      <c r="F57" s="319">
        <f>'[4]cc2006-2010'!F311</f>
        <v>477</v>
      </c>
      <c r="G57" s="319">
        <f>'[4]cc2006-2010'!G311</f>
        <v>191.2</v>
      </c>
      <c r="H57" s="320">
        <f>'[4]cc2006-2010'!H311</f>
        <v>482.2</v>
      </c>
      <c r="I57" s="321">
        <f>'[4]cc2006-2010'!I311</f>
        <v>494.5</v>
      </c>
      <c r="J57" s="279"/>
      <c r="L57" s="270">
        <f>247.4+3244.7</f>
        <v>3492.1</v>
      </c>
    </row>
    <row r="58" spans="1:10" ht="9.75" customHeight="1" hidden="1">
      <c r="A58" s="322"/>
      <c r="B58" s="323"/>
      <c r="C58" s="324"/>
      <c r="D58" s="325"/>
      <c r="E58" s="326"/>
      <c r="F58" s="326"/>
      <c r="G58" s="326"/>
      <c r="H58" s="327"/>
      <c r="I58" s="328"/>
      <c r="J58" s="290"/>
    </row>
    <row r="59" spans="1:10" s="270" customFormat="1" ht="22.5" customHeight="1" hidden="1">
      <c r="A59" s="272"/>
      <c r="B59" s="298" t="s">
        <v>353</v>
      </c>
      <c r="C59" s="274"/>
      <c r="D59" s="298"/>
      <c r="E59" s="276"/>
      <c r="F59" s="276"/>
      <c r="G59" s="276"/>
      <c r="H59" s="277"/>
      <c r="I59" s="278" t="e">
        <f>#REF!+#REF!</f>
        <v>#REF!</v>
      </c>
      <c r="J59" s="279"/>
    </row>
    <row r="60" spans="1:10" s="270" customFormat="1" ht="33.75" customHeight="1" hidden="1">
      <c r="A60" s="272" t="s">
        <v>352</v>
      </c>
      <c r="B60" s="298" t="s">
        <v>351</v>
      </c>
      <c r="C60" s="274"/>
      <c r="D60" s="298"/>
      <c r="E60" s="276">
        <f>+'[4]cc2007'!C244</f>
        <v>207</v>
      </c>
      <c r="F60" s="276"/>
      <c r="G60" s="276"/>
      <c r="H60" s="277"/>
      <c r="I60" s="278"/>
      <c r="J60" s="279"/>
    </row>
    <row r="61" spans="1:10" ht="9.75" customHeight="1">
      <c r="A61" s="329"/>
      <c r="B61" s="330"/>
      <c r="C61" s="331"/>
      <c r="D61" s="330"/>
      <c r="E61" s="332"/>
      <c r="F61" s="332"/>
      <c r="G61" s="332"/>
      <c r="H61" s="333"/>
      <c r="I61" s="334"/>
      <c r="J61" s="290"/>
    </row>
    <row r="62" ht="42" customHeight="1"/>
    <row r="63" spans="1:10" s="281" customFormat="1" ht="28.5" customHeight="1">
      <c r="A63" s="272"/>
      <c r="B63" s="298" t="s">
        <v>287</v>
      </c>
      <c r="C63" s="274" t="e">
        <f>+D63+E63+F63+G63+H63</f>
        <v>#REF!</v>
      </c>
      <c r="D63" s="276" t="e">
        <f>1000*(#REF!+#REF!)</f>
        <v>#REF!</v>
      </c>
      <c r="E63" s="276" t="e">
        <f>1000*(#REF!+#REF!)</f>
        <v>#REF!</v>
      </c>
      <c r="F63" s="276" t="e">
        <f>1000*(#REF!+#REF!)</f>
        <v>#REF!</v>
      </c>
      <c r="G63" s="276" t="e">
        <f>1000*(#REF!+#REF!)</f>
        <v>#REF!</v>
      </c>
      <c r="H63" s="276" t="e">
        <f>1000*(#REF!+#REF!)</f>
        <v>#REF!</v>
      </c>
      <c r="I63" s="276"/>
      <c r="J63" s="279"/>
    </row>
    <row r="64" ht="15.75">
      <c r="A64" s="337"/>
    </row>
    <row r="65" spans="1:10" ht="15.75">
      <c r="A65" s="245"/>
      <c r="B65" s="338"/>
      <c r="C65" s="339"/>
      <c r="D65" s="338"/>
      <c r="E65" s="338"/>
      <c r="F65" s="340"/>
      <c r="G65" s="338"/>
      <c r="H65" s="341"/>
      <c r="I65" s="342"/>
      <c r="J65" s="342"/>
    </row>
  </sheetData>
  <sheetProtection/>
  <mergeCells count="3">
    <mergeCell ref="A1:H1"/>
    <mergeCell ref="A2:I2"/>
    <mergeCell ref="F4:I4"/>
  </mergeCells>
  <printOptions horizontalCentered="1"/>
  <pageMargins left="0.7086614173228347" right="0.7086614173228347" top="0.78" bottom="0.65" header="0.31496062992125984" footer="0.31496062992125984"/>
  <pageSetup fitToHeight="0" fitToWidth="1" horizontalDpi="1200" verticalDpi="1200" orientation="landscape" paperSize="9" r:id="rId1"/>
  <headerFooter alignWithMargins="0">
    <oddHeader>&amp;R&amp;P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Y74"/>
  <sheetViews>
    <sheetView zoomScalePageLayoutView="0" workbookViewId="0" topLeftCell="A1">
      <selection activeCell="J18" sqref="J18"/>
    </sheetView>
  </sheetViews>
  <sheetFormatPr defaultColWidth="11.421875" defaultRowHeight="12.75"/>
  <cols>
    <col min="1" max="1" width="31.421875" style="155" customWidth="1"/>
    <col min="2" max="2" width="11.140625" style="155" customWidth="1"/>
    <col min="3" max="3" width="2.140625" style="155" customWidth="1"/>
    <col min="4" max="4" width="10.8515625" style="155" customWidth="1"/>
    <col min="5" max="9" width="13.421875" style="155" hidden="1" customWidth="1"/>
    <col min="10" max="10" width="13.421875" style="155" customWidth="1"/>
    <col min="11" max="11" width="11.00390625" style="155" customWidth="1"/>
    <col min="12" max="12" width="1.8515625" style="155" customWidth="1"/>
    <col min="13" max="13" width="9.8515625" style="155" customWidth="1"/>
    <col min="14" max="14" width="11.00390625" style="155" customWidth="1"/>
    <col min="15" max="15" width="2.00390625" style="155" customWidth="1"/>
    <col min="16" max="16" width="10.140625" style="155" customWidth="1"/>
    <col min="17" max="17" width="11.421875" style="155" customWidth="1"/>
    <col min="18" max="18" width="1.8515625" style="155" customWidth="1"/>
    <col min="19" max="19" width="9.57421875" style="155" customWidth="1"/>
    <col min="20" max="20" width="11.140625" style="155" customWidth="1"/>
    <col min="21" max="21" width="1.421875" style="155" customWidth="1"/>
    <col min="22" max="22" width="10.8515625" style="155" customWidth="1"/>
    <col min="23" max="16384" width="11.421875" style="155" customWidth="1"/>
  </cols>
  <sheetData>
    <row r="1" spans="8:25" ht="33.75" customHeight="1">
      <c r="H1" s="846"/>
      <c r="I1" s="846"/>
      <c r="V1" s="173" t="s">
        <v>388</v>
      </c>
      <c r="W1" s="192"/>
      <c r="X1" s="192"/>
      <c r="Y1" s="192"/>
    </row>
    <row r="2" spans="1:20" ht="30.75" customHeight="1">
      <c r="A2" s="848" t="s">
        <v>246</v>
      </c>
      <c r="B2" s="848"/>
      <c r="C2" s="848"/>
      <c r="D2" s="848"/>
      <c r="E2" s="848"/>
      <c r="F2" s="848"/>
      <c r="G2" s="848"/>
      <c r="H2" s="848"/>
      <c r="I2" s="848"/>
      <c r="J2" s="848"/>
      <c r="K2" s="848"/>
      <c r="L2" s="848"/>
      <c r="M2" s="848"/>
      <c r="N2" s="848"/>
      <c r="O2" s="848"/>
      <c r="P2" s="848"/>
      <c r="Q2" s="848"/>
      <c r="R2" s="848"/>
      <c r="S2" s="848"/>
      <c r="T2" s="848"/>
    </row>
    <row r="3" spans="1:9" ht="14.25" customHeight="1">
      <c r="A3" s="141"/>
      <c r="B3" s="141"/>
      <c r="C3" s="141"/>
      <c r="D3" s="141"/>
      <c r="E3" s="141"/>
      <c r="F3" s="141"/>
      <c r="G3" s="141"/>
      <c r="H3" s="846"/>
      <c r="I3" s="846"/>
    </row>
    <row r="4" spans="1:20" ht="27" customHeight="1">
      <c r="A4" s="142"/>
      <c r="B4" s="142"/>
      <c r="C4" s="142"/>
      <c r="D4" s="142"/>
      <c r="E4" s="142"/>
      <c r="F4" s="142"/>
      <c r="G4" s="142"/>
      <c r="H4" s="847" t="s">
        <v>247</v>
      </c>
      <c r="I4" s="847"/>
      <c r="J4" s="847"/>
      <c r="K4" s="847"/>
      <c r="L4" s="847"/>
      <c r="M4" s="847"/>
      <c r="N4" s="847"/>
      <c r="O4" s="847"/>
      <c r="P4" s="847"/>
      <c r="Q4" s="847"/>
      <c r="R4" s="847"/>
      <c r="S4" s="847"/>
      <c r="T4" s="847"/>
    </row>
    <row r="5" spans="1:22" ht="43.5" customHeight="1">
      <c r="A5" s="156"/>
      <c r="B5" s="843" t="s">
        <v>248</v>
      </c>
      <c r="C5" s="844"/>
      <c r="D5" s="845"/>
      <c r="E5" s="143" t="s">
        <v>249</v>
      </c>
      <c r="F5" s="143" t="s">
        <v>250</v>
      </c>
      <c r="G5" s="143" t="s">
        <v>251</v>
      </c>
      <c r="H5" s="143" t="s">
        <v>252</v>
      </c>
      <c r="I5" s="143" t="s">
        <v>253</v>
      </c>
      <c r="J5" s="163" t="s">
        <v>326</v>
      </c>
      <c r="K5" s="843" t="s">
        <v>254</v>
      </c>
      <c r="L5" s="844"/>
      <c r="M5" s="845"/>
      <c r="N5" s="843" t="s">
        <v>255</v>
      </c>
      <c r="O5" s="844"/>
      <c r="P5" s="845"/>
      <c r="Q5" s="843" t="s">
        <v>256</v>
      </c>
      <c r="R5" s="844"/>
      <c r="S5" s="845"/>
      <c r="T5" s="843" t="s">
        <v>257</v>
      </c>
      <c r="U5" s="844"/>
      <c r="V5" s="845"/>
    </row>
    <row r="6" spans="1:20" s="167" customFormat="1" ht="36" customHeight="1" hidden="1">
      <c r="A6" s="164" t="s">
        <v>393</v>
      </c>
      <c r="B6" s="165"/>
      <c r="C6" s="165"/>
      <c r="D6" s="165"/>
      <c r="E6" s="165"/>
      <c r="F6" s="165"/>
      <c r="G6" s="165"/>
      <c r="H6" s="165"/>
      <c r="I6" s="165"/>
      <c r="J6" s="166"/>
      <c r="K6" s="165"/>
      <c r="L6" s="165"/>
      <c r="M6" s="165"/>
      <c r="N6" s="165"/>
      <c r="O6" s="165"/>
      <c r="P6" s="165"/>
      <c r="Q6" s="165"/>
      <c r="R6" s="165"/>
      <c r="S6" s="165"/>
      <c r="T6" s="176"/>
    </row>
    <row r="7" spans="1:22" s="148" customFormat="1" ht="24.75" customHeight="1">
      <c r="A7" s="144" t="s">
        <v>258</v>
      </c>
      <c r="B7" s="195" t="e">
        <f>+J7+K7+N7+Q7+T7</f>
        <v>#REF!</v>
      </c>
      <c r="C7" s="180" t="s">
        <v>396</v>
      </c>
      <c r="D7" s="197" t="e">
        <f>+B41</f>
        <v>#REF!</v>
      </c>
      <c r="E7" s="146"/>
      <c r="F7" s="147">
        <f>F8-F9</f>
        <v>-10360</v>
      </c>
      <c r="G7" s="147"/>
      <c r="H7" s="147">
        <f>H8-H9</f>
        <v>-14960</v>
      </c>
      <c r="I7" s="147">
        <f>I8-I9</f>
        <v>-14800</v>
      </c>
      <c r="J7" s="147" t="e">
        <f>+J8-J9</f>
        <v>#REF!</v>
      </c>
      <c r="K7" s="193" t="e">
        <f>+K8-K9</f>
        <v>#REF!</v>
      </c>
      <c r="L7" s="184" t="s">
        <v>396</v>
      </c>
      <c r="M7" s="199" t="e">
        <f>+K41</f>
        <v>#REF!</v>
      </c>
      <c r="N7" s="193" t="e">
        <f>+N8-N9</f>
        <v>#REF!</v>
      </c>
      <c r="O7" s="184" t="s">
        <v>396</v>
      </c>
      <c r="P7" s="199" t="e">
        <f>+N41</f>
        <v>#REF!</v>
      </c>
      <c r="Q7" s="193" t="e">
        <f>+Q8-Q9</f>
        <v>#REF!</v>
      </c>
      <c r="R7" s="184" t="s">
        <v>396</v>
      </c>
      <c r="S7" s="199" t="e">
        <f>+Q41</f>
        <v>#REF!</v>
      </c>
      <c r="T7" s="193" t="e">
        <f>+T8-T9</f>
        <v>#REF!</v>
      </c>
      <c r="U7" s="187" t="s">
        <v>396</v>
      </c>
      <c r="V7" s="199" t="e">
        <f>+T41</f>
        <v>#REF!</v>
      </c>
    </row>
    <row r="8" spans="1:22" s="159" customFormat="1" ht="24.75" customHeight="1">
      <c r="A8" s="157" t="s">
        <v>259</v>
      </c>
      <c r="B8" s="196" t="e">
        <f aca="true" t="shared" si="0" ref="B8:B18">+J8+K8+N8+Q8+T8</f>
        <v>#REF!</v>
      </c>
      <c r="C8" s="181" t="s">
        <v>396</v>
      </c>
      <c r="D8" s="198" t="e">
        <f aca="true" t="shared" si="1" ref="D8:D39">+B42</f>
        <v>#REF!</v>
      </c>
      <c r="E8" s="158"/>
      <c r="F8" s="152">
        <v>48561</v>
      </c>
      <c r="G8" s="152"/>
      <c r="H8" s="152">
        <v>64000</v>
      </c>
      <c r="I8" s="152">
        <v>76700</v>
      </c>
      <c r="J8" s="152" t="e">
        <f>+#REF!*1000</f>
        <v>#REF!</v>
      </c>
      <c r="K8" s="194" t="e">
        <f>+#REF!*1000</f>
        <v>#REF!</v>
      </c>
      <c r="L8" s="182" t="s">
        <v>396</v>
      </c>
      <c r="M8" s="200" t="e">
        <f aca="true" t="shared" si="2" ref="M8:M39">+K42</f>
        <v>#REF!</v>
      </c>
      <c r="N8" s="194" t="e">
        <f>+#REF!*1000</f>
        <v>#REF!</v>
      </c>
      <c r="O8" s="182" t="s">
        <v>396</v>
      </c>
      <c r="P8" s="200" t="e">
        <f aca="true" t="shared" si="3" ref="P8:P39">+N42</f>
        <v>#REF!</v>
      </c>
      <c r="Q8" s="194" t="e">
        <f>+#REF!*1000</f>
        <v>#REF!</v>
      </c>
      <c r="R8" s="182" t="s">
        <v>396</v>
      </c>
      <c r="S8" s="200" t="e">
        <f aca="true" t="shared" si="4" ref="S8:S39">+Q42</f>
        <v>#REF!</v>
      </c>
      <c r="T8" s="194" t="e">
        <f>+#REF!*1000</f>
        <v>#REF!</v>
      </c>
      <c r="U8" s="188" t="s">
        <v>396</v>
      </c>
      <c r="V8" s="200" t="e">
        <f aca="true" t="shared" si="5" ref="V8:V39">+T42</f>
        <v>#REF!</v>
      </c>
    </row>
    <row r="9" spans="1:22" s="159" customFormat="1" ht="24.75" customHeight="1">
      <c r="A9" s="157" t="s">
        <v>260</v>
      </c>
      <c r="B9" s="196" t="e">
        <f t="shared" si="0"/>
        <v>#REF!</v>
      </c>
      <c r="C9" s="181" t="s">
        <v>396</v>
      </c>
      <c r="D9" s="198" t="e">
        <f t="shared" si="1"/>
        <v>#REF!</v>
      </c>
      <c r="E9" s="158"/>
      <c r="F9" s="152">
        <v>58921</v>
      </c>
      <c r="G9" s="160"/>
      <c r="H9" s="160">
        <v>78960</v>
      </c>
      <c r="I9" s="160">
        <v>91500</v>
      </c>
      <c r="J9" s="152" t="e">
        <f>0.9*J10</f>
        <v>#REF!</v>
      </c>
      <c r="K9" s="194" t="e">
        <f>0.9*K10</f>
        <v>#REF!</v>
      </c>
      <c r="L9" s="182" t="s">
        <v>396</v>
      </c>
      <c r="M9" s="200" t="e">
        <f t="shared" si="2"/>
        <v>#REF!</v>
      </c>
      <c r="N9" s="194" t="e">
        <f>0.9*N10</f>
        <v>#REF!</v>
      </c>
      <c r="O9" s="182" t="s">
        <v>396</v>
      </c>
      <c r="P9" s="200" t="e">
        <f t="shared" si="3"/>
        <v>#REF!</v>
      </c>
      <c r="Q9" s="194" t="e">
        <f>0.9*Q10</f>
        <v>#REF!</v>
      </c>
      <c r="R9" s="182" t="s">
        <v>396</v>
      </c>
      <c r="S9" s="200" t="e">
        <f t="shared" si="4"/>
        <v>#REF!</v>
      </c>
      <c r="T9" s="194" t="e">
        <f>0.9*T10</f>
        <v>#REF!</v>
      </c>
      <c r="U9" s="188" t="s">
        <v>396</v>
      </c>
      <c r="V9" s="200" t="e">
        <f t="shared" si="5"/>
        <v>#REF!</v>
      </c>
    </row>
    <row r="10" spans="1:22" s="159" customFormat="1" ht="24.75" customHeight="1">
      <c r="A10" s="157" t="s">
        <v>261</v>
      </c>
      <c r="B10" s="196" t="e">
        <f t="shared" si="0"/>
        <v>#REF!</v>
      </c>
      <c r="C10" s="181" t="s">
        <v>396</v>
      </c>
      <c r="D10" s="198" t="e">
        <f t="shared" si="1"/>
        <v>#REF!</v>
      </c>
      <c r="E10" s="158"/>
      <c r="F10" s="152">
        <v>62682</v>
      </c>
      <c r="G10" s="160"/>
      <c r="H10" s="160">
        <v>84000</v>
      </c>
      <c r="I10" s="160">
        <v>97400</v>
      </c>
      <c r="J10" s="152" t="e">
        <f>+#REF!*1000</f>
        <v>#REF!</v>
      </c>
      <c r="K10" s="194" t="e">
        <f>+#REF!*1000</f>
        <v>#REF!</v>
      </c>
      <c r="L10" s="182" t="s">
        <v>396</v>
      </c>
      <c r="M10" s="200" t="e">
        <f t="shared" si="2"/>
        <v>#REF!</v>
      </c>
      <c r="N10" s="194" t="e">
        <f>+#REF!*1000</f>
        <v>#REF!</v>
      </c>
      <c r="O10" s="182" t="s">
        <v>396</v>
      </c>
      <c r="P10" s="200" t="e">
        <f t="shared" si="3"/>
        <v>#REF!</v>
      </c>
      <c r="Q10" s="194" t="e">
        <f>+#REF!*1000</f>
        <v>#REF!</v>
      </c>
      <c r="R10" s="182" t="s">
        <v>396</v>
      </c>
      <c r="S10" s="200" t="e">
        <f t="shared" si="4"/>
        <v>#REF!</v>
      </c>
      <c r="T10" s="194" t="e">
        <f>+#REF!*1000</f>
        <v>#REF!</v>
      </c>
      <c r="U10" s="188" t="s">
        <v>396</v>
      </c>
      <c r="V10" s="200" t="e">
        <f t="shared" si="5"/>
        <v>#REF!</v>
      </c>
    </row>
    <row r="11" spans="1:22" s="159" customFormat="1" ht="15" customHeight="1">
      <c r="A11" s="157"/>
      <c r="B11" s="178"/>
      <c r="C11" s="181"/>
      <c r="D11" s="174"/>
      <c r="E11" s="158"/>
      <c r="F11" s="152"/>
      <c r="G11" s="152"/>
      <c r="H11" s="152"/>
      <c r="I11" s="152"/>
      <c r="J11" s="152"/>
      <c r="K11" s="179"/>
      <c r="L11" s="182"/>
      <c r="M11" s="175"/>
      <c r="N11" s="179"/>
      <c r="O11" s="182"/>
      <c r="P11" s="175"/>
      <c r="Q11" s="179"/>
      <c r="R11" s="182"/>
      <c r="S11" s="175"/>
      <c r="T11" s="179"/>
      <c r="U11" s="188"/>
      <c r="V11" s="189"/>
    </row>
    <row r="12" spans="1:22" s="148" customFormat="1" ht="24.75" customHeight="1">
      <c r="A12" s="150" t="s">
        <v>262</v>
      </c>
      <c r="B12" s="840">
        <f t="shared" si="0"/>
        <v>-11500</v>
      </c>
      <c r="C12" s="841"/>
      <c r="D12" s="842"/>
      <c r="E12" s="151"/>
      <c r="F12" s="161">
        <f>F13-F14</f>
        <v>-894</v>
      </c>
      <c r="G12" s="161"/>
      <c r="H12" s="161">
        <v>-1300</v>
      </c>
      <c r="I12" s="161">
        <v>-1391</v>
      </c>
      <c r="J12" s="152">
        <v>-3000</v>
      </c>
      <c r="K12" s="837">
        <v>-1500</v>
      </c>
      <c r="L12" s="838"/>
      <c r="M12" s="839"/>
      <c r="N12" s="837">
        <v>-2000</v>
      </c>
      <c r="O12" s="838"/>
      <c r="P12" s="839"/>
      <c r="Q12" s="837">
        <v>-2500</v>
      </c>
      <c r="R12" s="838"/>
      <c r="S12" s="839"/>
      <c r="T12" s="837">
        <v>-2500</v>
      </c>
      <c r="U12" s="838"/>
      <c r="V12" s="839"/>
    </row>
    <row r="13" spans="1:22" s="159" customFormat="1" ht="24.75" customHeight="1" hidden="1">
      <c r="A13" s="157" t="s">
        <v>263</v>
      </c>
      <c r="B13" s="177">
        <f t="shared" si="0"/>
        <v>0</v>
      </c>
      <c r="C13" s="181" t="s">
        <v>396</v>
      </c>
      <c r="D13" s="174">
        <f t="shared" si="1"/>
        <v>0</v>
      </c>
      <c r="E13" s="158"/>
      <c r="F13" s="152">
        <v>6030</v>
      </c>
      <c r="G13" s="152"/>
      <c r="H13" s="152">
        <v>7055</v>
      </c>
      <c r="I13" s="152">
        <v>7549</v>
      </c>
      <c r="J13" s="152"/>
      <c r="K13" s="179"/>
      <c r="L13" s="182" t="s">
        <v>396</v>
      </c>
      <c r="M13" s="175">
        <f t="shared" si="2"/>
        <v>0</v>
      </c>
      <c r="N13" s="179"/>
      <c r="O13" s="182" t="s">
        <v>396</v>
      </c>
      <c r="P13" s="175">
        <f t="shared" si="3"/>
        <v>0</v>
      </c>
      <c r="Q13" s="179"/>
      <c r="R13" s="182" t="s">
        <v>396</v>
      </c>
      <c r="S13" s="175">
        <f t="shared" si="4"/>
        <v>0</v>
      </c>
      <c r="T13" s="179"/>
      <c r="U13" s="188" t="s">
        <v>396</v>
      </c>
      <c r="V13" s="189">
        <f t="shared" si="5"/>
        <v>0</v>
      </c>
    </row>
    <row r="14" spans="1:22" s="159" customFormat="1" ht="24.75" customHeight="1" hidden="1">
      <c r="A14" s="157" t="s">
        <v>264</v>
      </c>
      <c r="B14" s="177">
        <f t="shared" si="0"/>
        <v>0</v>
      </c>
      <c r="C14" s="181" t="s">
        <v>396</v>
      </c>
      <c r="D14" s="174">
        <f t="shared" si="1"/>
        <v>0</v>
      </c>
      <c r="E14" s="158"/>
      <c r="F14" s="152">
        <v>6924</v>
      </c>
      <c r="G14" s="152"/>
      <c r="H14" s="152">
        <v>8355</v>
      </c>
      <c r="I14" s="152">
        <v>8940</v>
      </c>
      <c r="J14" s="152"/>
      <c r="K14" s="179"/>
      <c r="L14" s="182" t="s">
        <v>396</v>
      </c>
      <c r="M14" s="175">
        <f t="shared" si="2"/>
        <v>0</v>
      </c>
      <c r="N14" s="179"/>
      <c r="O14" s="182" t="s">
        <v>396</v>
      </c>
      <c r="P14" s="175">
        <f t="shared" si="3"/>
        <v>0</v>
      </c>
      <c r="Q14" s="179"/>
      <c r="R14" s="182" t="s">
        <v>396</v>
      </c>
      <c r="S14" s="175">
        <f t="shared" si="4"/>
        <v>0</v>
      </c>
      <c r="T14" s="179"/>
      <c r="U14" s="188" t="s">
        <v>396</v>
      </c>
      <c r="V14" s="189">
        <f t="shared" si="5"/>
        <v>0</v>
      </c>
    </row>
    <row r="15" spans="1:22" s="148" customFormat="1" ht="24.75" customHeight="1">
      <c r="A15" s="150" t="s">
        <v>265</v>
      </c>
      <c r="B15" s="840">
        <f t="shared" si="0"/>
        <v>-34086</v>
      </c>
      <c r="C15" s="841"/>
      <c r="D15" s="842"/>
      <c r="E15" s="151"/>
      <c r="F15" s="161">
        <f>F16-F17</f>
        <v>-2168</v>
      </c>
      <c r="G15" s="161"/>
      <c r="H15" s="161">
        <f>H16-H17</f>
        <v>-2432</v>
      </c>
      <c r="I15" s="161">
        <f>I16-I17</f>
        <v>-2602</v>
      </c>
      <c r="J15" s="152">
        <v>-5124</v>
      </c>
      <c r="K15" s="837">
        <v>-6950</v>
      </c>
      <c r="L15" s="838"/>
      <c r="M15" s="839"/>
      <c r="N15" s="837">
        <v>-6452</v>
      </c>
      <c r="O15" s="838"/>
      <c r="P15" s="839"/>
      <c r="Q15" s="837">
        <v>-7109</v>
      </c>
      <c r="R15" s="838"/>
      <c r="S15" s="839"/>
      <c r="T15" s="837">
        <v>-8451</v>
      </c>
      <c r="U15" s="838"/>
      <c r="V15" s="839"/>
    </row>
    <row r="16" spans="1:22" s="159" customFormat="1" ht="24.75" customHeight="1" hidden="1">
      <c r="A16" s="157" t="s">
        <v>263</v>
      </c>
      <c r="B16" s="177">
        <f t="shared" si="0"/>
        <v>0</v>
      </c>
      <c r="C16" s="181" t="s">
        <v>396</v>
      </c>
      <c r="D16" s="174">
        <f t="shared" si="1"/>
        <v>0</v>
      </c>
      <c r="E16" s="158"/>
      <c r="F16" s="152">
        <v>1093</v>
      </c>
      <c r="G16" s="152"/>
      <c r="H16" s="152">
        <v>1268</v>
      </c>
      <c r="I16" s="152">
        <v>1357</v>
      </c>
      <c r="J16" s="152"/>
      <c r="K16" s="179"/>
      <c r="L16" s="182" t="s">
        <v>396</v>
      </c>
      <c r="M16" s="175">
        <f t="shared" si="2"/>
        <v>0</v>
      </c>
      <c r="N16" s="179"/>
      <c r="O16" s="182" t="s">
        <v>396</v>
      </c>
      <c r="P16" s="175">
        <f t="shared" si="3"/>
        <v>0</v>
      </c>
      <c r="Q16" s="179"/>
      <c r="R16" s="182" t="s">
        <v>396</v>
      </c>
      <c r="S16" s="175">
        <f t="shared" si="4"/>
        <v>0</v>
      </c>
      <c r="T16" s="179"/>
      <c r="U16" s="188" t="s">
        <v>396</v>
      </c>
      <c r="V16" s="189">
        <f t="shared" si="5"/>
        <v>0</v>
      </c>
    </row>
    <row r="17" spans="1:22" s="159" customFormat="1" ht="24.75" customHeight="1" hidden="1">
      <c r="A17" s="157" t="s">
        <v>264</v>
      </c>
      <c r="B17" s="177">
        <f t="shared" si="0"/>
        <v>0</v>
      </c>
      <c r="C17" s="181" t="s">
        <v>396</v>
      </c>
      <c r="D17" s="174">
        <f t="shared" si="1"/>
        <v>0</v>
      </c>
      <c r="E17" s="158"/>
      <c r="F17" s="152">
        <v>3261</v>
      </c>
      <c r="G17" s="152"/>
      <c r="H17" s="152">
        <v>3700</v>
      </c>
      <c r="I17" s="152">
        <v>3959</v>
      </c>
      <c r="J17" s="152"/>
      <c r="K17" s="179"/>
      <c r="L17" s="182" t="s">
        <v>396</v>
      </c>
      <c r="M17" s="175">
        <f t="shared" si="2"/>
        <v>0</v>
      </c>
      <c r="N17" s="179"/>
      <c r="O17" s="182" t="s">
        <v>396</v>
      </c>
      <c r="P17" s="175">
        <f t="shared" si="3"/>
        <v>0</v>
      </c>
      <c r="Q17" s="179"/>
      <c r="R17" s="182" t="s">
        <v>396</v>
      </c>
      <c r="S17" s="175">
        <f t="shared" si="4"/>
        <v>0</v>
      </c>
      <c r="T17" s="179"/>
      <c r="U17" s="188" t="s">
        <v>396</v>
      </c>
      <c r="V17" s="189">
        <f t="shared" si="5"/>
        <v>0</v>
      </c>
    </row>
    <row r="18" spans="1:22" s="148" customFormat="1" ht="24.75" customHeight="1">
      <c r="A18" s="150" t="s">
        <v>266</v>
      </c>
      <c r="B18" s="840">
        <f t="shared" si="0"/>
        <v>32038</v>
      </c>
      <c r="C18" s="841"/>
      <c r="D18" s="842"/>
      <c r="E18" s="151"/>
      <c r="F18" s="161">
        <v>6430</v>
      </c>
      <c r="G18" s="161"/>
      <c r="H18" s="161">
        <v>7257</v>
      </c>
      <c r="I18" s="161">
        <v>8100</v>
      </c>
      <c r="J18" s="152">
        <v>6500</v>
      </c>
      <c r="K18" s="837">
        <v>5700</v>
      </c>
      <c r="L18" s="838"/>
      <c r="M18" s="839"/>
      <c r="N18" s="837">
        <v>6270</v>
      </c>
      <c r="O18" s="838"/>
      <c r="P18" s="839"/>
      <c r="Q18" s="837">
        <v>6717</v>
      </c>
      <c r="R18" s="838"/>
      <c r="S18" s="839"/>
      <c r="T18" s="837">
        <v>6851</v>
      </c>
      <c r="U18" s="838"/>
      <c r="V18" s="839"/>
    </row>
    <row r="19" spans="1:22" s="159" customFormat="1" ht="24.75" customHeight="1" hidden="1">
      <c r="A19" s="157" t="s">
        <v>267</v>
      </c>
      <c r="B19" s="177">
        <f>+SUM(J19:T19)</f>
        <v>0</v>
      </c>
      <c r="C19" s="181" t="s">
        <v>396</v>
      </c>
      <c r="D19" s="174">
        <f t="shared" si="1"/>
        <v>0</v>
      </c>
      <c r="E19" s="158"/>
      <c r="F19" s="152">
        <v>250</v>
      </c>
      <c r="G19" s="152"/>
      <c r="H19" s="152">
        <v>257</v>
      </c>
      <c r="I19" s="152">
        <v>260</v>
      </c>
      <c r="J19" s="152"/>
      <c r="K19" s="179"/>
      <c r="L19" s="182" t="s">
        <v>396</v>
      </c>
      <c r="M19" s="175">
        <f t="shared" si="2"/>
        <v>0</v>
      </c>
      <c r="N19" s="179"/>
      <c r="O19" s="182" t="s">
        <v>396</v>
      </c>
      <c r="P19" s="175">
        <f t="shared" si="3"/>
        <v>0</v>
      </c>
      <c r="Q19" s="179"/>
      <c r="R19" s="182" t="s">
        <v>396</v>
      </c>
      <c r="S19" s="175">
        <f t="shared" si="4"/>
        <v>0</v>
      </c>
      <c r="T19" s="179"/>
      <c r="U19" s="188" t="s">
        <v>396</v>
      </c>
      <c r="V19" s="189">
        <f t="shared" si="5"/>
        <v>0</v>
      </c>
    </row>
    <row r="20" spans="1:22" s="159" customFormat="1" ht="24.75" customHeight="1" hidden="1">
      <c r="A20" s="157" t="s">
        <v>268</v>
      </c>
      <c r="B20" s="177">
        <f>+SUM(J20:T20)</f>
        <v>0</v>
      </c>
      <c r="C20" s="181" t="s">
        <v>396</v>
      </c>
      <c r="D20" s="174">
        <f t="shared" si="1"/>
        <v>0</v>
      </c>
      <c r="E20" s="158"/>
      <c r="F20" s="152">
        <v>6180</v>
      </c>
      <c r="G20" s="152"/>
      <c r="H20" s="152">
        <v>7000</v>
      </c>
      <c r="I20" s="152">
        <v>7840</v>
      </c>
      <c r="J20" s="152"/>
      <c r="K20" s="179"/>
      <c r="L20" s="182" t="s">
        <v>396</v>
      </c>
      <c r="M20" s="175">
        <f t="shared" si="2"/>
        <v>0</v>
      </c>
      <c r="N20" s="179"/>
      <c r="O20" s="182" t="s">
        <v>396</v>
      </c>
      <c r="P20" s="175">
        <f t="shared" si="3"/>
        <v>0</v>
      </c>
      <c r="Q20" s="179"/>
      <c r="R20" s="182" t="s">
        <v>396</v>
      </c>
      <c r="S20" s="175">
        <f t="shared" si="4"/>
        <v>0</v>
      </c>
      <c r="T20" s="179"/>
      <c r="U20" s="188" t="s">
        <v>396</v>
      </c>
      <c r="V20" s="189">
        <f t="shared" si="5"/>
        <v>0</v>
      </c>
    </row>
    <row r="21" spans="1:22" s="159" customFormat="1" ht="21.75" customHeight="1">
      <c r="A21" s="157"/>
      <c r="B21" s="177"/>
      <c r="C21" s="181"/>
      <c r="D21" s="174"/>
      <c r="E21" s="158"/>
      <c r="F21" s="152"/>
      <c r="G21" s="152"/>
      <c r="H21" s="152"/>
      <c r="I21" s="152"/>
      <c r="J21" s="152"/>
      <c r="K21" s="179"/>
      <c r="L21" s="182"/>
      <c r="M21" s="175"/>
      <c r="N21" s="179"/>
      <c r="O21" s="182"/>
      <c r="P21" s="175"/>
      <c r="Q21" s="179"/>
      <c r="R21" s="182"/>
      <c r="S21" s="175"/>
      <c r="T21" s="179"/>
      <c r="U21" s="188"/>
      <c r="V21" s="189"/>
    </row>
    <row r="22" spans="1:22" s="148" customFormat="1" ht="24.75" customHeight="1">
      <c r="A22" s="153" t="s">
        <v>269</v>
      </c>
      <c r="B22" s="196" t="e">
        <f aca="true" t="shared" si="6" ref="B22:B39">+J22+K22+N22+Q22+T22</f>
        <v>#REF!</v>
      </c>
      <c r="C22" s="181" t="s">
        <v>396</v>
      </c>
      <c r="D22" s="198" t="e">
        <f t="shared" si="1"/>
        <v>#REF!</v>
      </c>
      <c r="E22" s="154"/>
      <c r="F22" s="161">
        <v>-6992</v>
      </c>
      <c r="G22" s="161"/>
      <c r="H22" s="161">
        <v>-11435</v>
      </c>
      <c r="I22" s="161">
        <v>-10690</v>
      </c>
      <c r="J22" s="152" t="e">
        <f>+J7+J12+J15+J18</f>
        <v>#REF!</v>
      </c>
      <c r="K22" s="194" t="e">
        <f>+K7+K12+K15+K18</f>
        <v>#REF!</v>
      </c>
      <c r="L22" s="182" t="s">
        <v>396</v>
      </c>
      <c r="M22" s="200" t="e">
        <f t="shared" si="2"/>
        <v>#REF!</v>
      </c>
      <c r="N22" s="194" t="e">
        <f>+N7+N12+N15+N18</f>
        <v>#REF!</v>
      </c>
      <c r="O22" s="182" t="s">
        <v>396</v>
      </c>
      <c r="P22" s="200" t="e">
        <f t="shared" si="3"/>
        <v>#REF!</v>
      </c>
      <c r="Q22" s="194" t="e">
        <f>+Q7+Q12+Q15+Q18</f>
        <v>#REF!</v>
      </c>
      <c r="R22" s="182" t="s">
        <v>396</v>
      </c>
      <c r="S22" s="200" t="e">
        <f t="shared" si="4"/>
        <v>#REF!</v>
      </c>
      <c r="T22" s="194" t="e">
        <f>+T7+T12+T15+T18</f>
        <v>#REF!</v>
      </c>
      <c r="U22" s="188" t="s">
        <v>396</v>
      </c>
      <c r="V22" s="200" t="e">
        <f t="shared" si="5"/>
        <v>#REF!</v>
      </c>
    </row>
    <row r="23" spans="1:22" s="159" customFormat="1" ht="19.5" customHeight="1">
      <c r="A23" s="157"/>
      <c r="B23" s="177"/>
      <c r="C23" s="181"/>
      <c r="D23" s="198"/>
      <c r="E23" s="158"/>
      <c r="F23" s="152"/>
      <c r="G23" s="152"/>
      <c r="H23" s="152"/>
      <c r="I23" s="152"/>
      <c r="J23" s="152"/>
      <c r="K23" s="194"/>
      <c r="L23" s="182"/>
      <c r="M23" s="200"/>
      <c r="N23" s="194"/>
      <c r="O23" s="182"/>
      <c r="P23" s="200"/>
      <c r="Q23" s="194"/>
      <c r="R23" s="182"/>
      <c r="S23" s="200"/>
      <c r="T23" s="194"/>
      <c r="U23" s="188"/>
      <c r="V23" s="189"/>
    </row>
    <row r="24" spans="1:22" s="159" customFormat="1" ht="24.75" customHeight="1">
      <c r="A24" s="153" t="s">
        <v>270</v>
      </c>
      <c r="B24" s="196" t="e">
        <f t="shared" si="6"/>
        <v>#REF!</v>
      </c>
      <c r="C24" s="181" t="s">
        <v>396</v>
      </c>
      <c r="D24" s="198" t="e">
        <f t="shared" si="1"/>
        <v>#REF!</v>
      </c>
      <c r="E24" s="158"/>
      <c r="F24" s="152"/>
      <c r="G24" s="152"/>
      <c r="H24" s="152"/>
      <c r="I24" s="152"/>
      <c r="J24" s="152" t="e">
        <f>+J26+J27+J30+J35-3600</f>
        <v>#REF!</v>
      </c>
      <c r="K24" s="194" t="e">
        <f>+K26+K27+K30+K35-3600</f>
        <v>#REF!</v>
      </c>
      <c r="L24" s="182" t="s">
        <v>396</v>
      </c>
      <c r="M24" s="200" t="e">
        <f t="shared" si="2"/>
        <v>#REF!</v>
      </c>
      <c r="N24" s="194" t="e">
        <f>+N26+N27+N30+N35-3600</f>
        <v>#REF!</v>
      </c>
      <c r="O24" s="182" t="s">
        <v>396</v>
      </c>
      <c r="P24" s="200" t="e">
        <f t="shared" si="3"/>
        <v>#REF!</v>
      </c>
      <c r="Q24" s="194" t="e">
        <f>+Q26+Q27+Q30+Q35-3600</f>
        <v>#REF!</v>
      </c>
      <c r="R24" s="182" t="s">
        <v>396</v>
      </c>
      <c r="S24" s="200" t="e">
        <f t="shared" si="4"/>
        <v>#REF!</v>
      </c>
      <c r="T24" s="194" t="e">
        <f>+T26+T27+T30+T35-3600</f>
        <v>#REF!</v>
      </c>
      <c r="U24" s="188" t="s">
        <v>396</v>
      </c>
      <c r="V24" s="200" t="e">
        <f t="shared" si="5"/>
        <v>#REF!</v>
      </c>
    </row>
    <row r="25" spans="1:22" s="159" customFormat="1" ht="21.75" customHeight="1">
      <c r="A25" s="157"/>
      <c r="B25" s="177"/>
      <c r="C25" s="181"/>
      <c r="D25" s="174"/>
      <c r="E25" s="158"/>
      <c r="F25" s="152"/>
      <c r="G25" s="152"/>
      <c r="H25" s="152"/>
      <c r="I25" s="152"/>
      <c r="J25" s="152"/>
      <c r="K25" s="194"/>
      <c r="L25" s="182"/>
      <c r="M25" s="200"/>
      <c r="N25" s="194"/>
      <c r="O25" s="182"/>
      <c r="P25" s="200"/>
      <c r="Q25" s="194"/>
      <c r="R25" s="182"/>
      <c r="S25" s="200"/>
      <c r="T25" s="194"/>
      <c r="U25" s="188"/>
      <c r="V25" s="189"/>
    </row>
    <row r="26" spans="1:22" s="148" customFormat="1" ht="24.75" customHeight="1">
      <c r="A26" s="150" t="s">
        <v>271</v>
      </c>
      <c r="B26" s="196" t="e">
        <f t="shared" si="6"/>
        <v>#REF!</v>
      </c>
      <c r="C26" s="181" t="s">
        <v>396</v>
      </c>
      <c r="D26" s="198" t="e">
        <f t="shared" si="1"/>
        <v>#REF!</v>
      </c>
      <c r="E26" s="151"/>
      <c r="F26" s="161"/>
      <c r="G26" s="161"/>
      <c r="H26" s="161"/>
      <c r="I26" s="161"/>
      <c r="J26" s="152" t="e">
        <f>+#REF!*1000-900</f>
        <v>#REF!</v>
      </c>
      <c r="K26" s="194" t="e">
        <f>+#REF!*1000-1000</f>
        <v>#REF!</v>
      </c>
      <c r="L26" s="182" t="s">
        <v>396</v>
      </c>
      <c r="M26" s="200" t="e">
        <f t="shared" si="2"/>
        <v>#REF!</v>
      </c>
      <c r="N26" s="194" t="e">
        <f>+#REF!*1000-1000</f>
        <v>#REF!</v>
      </c>
      <c r="O26" s="182" t="s">
        <v>396</v>
      </c>
      <c r="P26" s="200" t="e">
        <f t="shared" si="3"/>
        <v>#REF!</v>
      </c>
      <c r="Q26" s="194" t="e">
        <f>+#REF!*1000-1100</f>
        <v>#REF!</v>
      </c>
      <c r="R26" s="182" t="s">
        <v>396</v>
      </c>
      <c r="S26" s="200" t="e">
        <f t="shared" si="4"/>
        <v>#REF!</v>
      </c>
      <c r="T26" s="194" t="e">
        <f>+#REF!*1000-1200</f>
        <v>#REF!</v>
      </c>
      <c r="U26" s="188" t="s">
        <v>396</v>
      </c>
      <c r="V26" s="200" t="e">
        <f t="shared" si="5"/>
        <v>#REF!</v>
      </c>
    </row>
    <row r="27" spans="1:22" s="148" customFormat="1" ht="24.75" customHeight="1">
      <c r="A27" s="150" t="s">
        <v>272</v>
      </c>
      <c r="B27" s="840">
        <f t="shared" si="6"/>
        <v>13505</v>
      </c>
      <c r="C27" s="841"/>
      <c r="D27" s="842"/>
      <c r="E27" s="151"/>
      <c r="F27" s="161">
        <v>2045</v>
      </c>
      <c r="G27" s="161"/>
      <c r="H27" s="161">
        <v>964</v>
      </c>
      <c r="I27" s="161">
        <v>562</v>
      </c>
      <c r="J27" s="152">
        <v>2000</v>
      </c>
      <c r="K27" s="837">
        <v>2730</v>
      </c>
      <c r="L27" s="838"/>
      <c r="M27" s="839"/>
      <c r="N27" s="837">
        <v>2839</v>
      </c>
      <c r="O27" s="838"/>
      <c r="P27" s="839"/>
      <c r="Q27" s="837">
        <v>2924</v>
      </c>
      <c r="R27" s="838"/>
      <c r="S27" s="839"/>
      <c r="T27" s="837">
        <v>3012</v>
      </c>
      <c r="U27" s="838"/>
      <c r="V27" s="839"/>
    </row>
    <row r="28" spans="1:22" s="159" customFormat="1" ht="24.75" customHeight="1" hidden="1">
      <c r="A28" s="157" t="s">
        <v>273</v>
      </c>
      <c r="B28" s="177">
        <f t="shared" si="6"/>
        <v>0</v>
      </c>
      <c r="C28" s="181" t="s">
        <v>396</v>
      </c>
      <c r="D28" s="174">
        <f t="shared" si="1"/>
        <v>0</v>
      </c>
      <c r="E28" s="158"/>
      <c r="F28" s="152">
        <v>3397</v>
      </c>
      <c r="G28" s="152"/>
      <c r="H28" s="152">
        <v>2562</v>
      </c>
      <c r="I28" s="152">
        <v>2639</v>
      </c>
      <c r="J28" s="152"/>
      <c r="K28" s="179"/>
      <c r="L28" s="182" t="s">
        <v>396</v>
      </c>
      <c r="M28" s="175">
        <f t="shared" si="2"/>
        <v>0</v>
      </c>
      <c r="N28" s="179"/>
      <c r="O28" s="182" t="s">
        <v>396</v>
      </c>
      <c r="P28" s="175">
        <f t="shared" si="3"/>
        <v>0</v>
      </c>
      <c r="Q28" s="179"/>
      <c r="R28" s="182" t="s">
        <v>396</v>
      </c>
      <c r="S28" s="175">
        <f t="shared" si="4"/>
        <v>0</v>
      </c>
      <c r="T28" s="179"/>
      <c r="U28" s="188" t="s">
        <v>396</v>
      </c>
      <c r="V28" s="189">
        <f t="shared" si="5"/>
        <v>0</v>
      </c>
    </row>
    <row r="29" spans="1:22" s="159" customFormat="1" ht="24.75" customHeight="1" hidden="1">
      <c r="A29" s="157" t="s">
        <v>274</v>
      </c>
      <c r="B29" s="177">
        <f t="shared" si="6"/>
        <v>0</v>
      </c>
      <c r="C29" s="181" t="s">
        <v>396</v>
      </c>
      <c r="D29" s="174">
        <f t="shared" si="1"/>
        <v>0</v>
      </c>
      <c r="E29" s="158"/>
      <c r="F29" s="152">
        <v>1352</v>
      </c>
      <c r="G29" s="152"/>
      <c r="H29" s="152">
        <v>1598</v>
      </c>
      <c r="I29" s="152">
        <v>2077</v>
      </c>
      <c r="J29" s="152"/>
      <c r="K29" s="179"/>
      <c r="L29" s="182" t="s">
        <v>396</v>
      </c>
      <c r="M29" s="175">
        <f t="shared" si="2"/>
        <v>0</v>
      </c>
      <c r="N29" s="179"/>
      <c r="O29" s="182" t="s">
        <v>396</v>
      </c>
      <c r="P29" s="175">
        <f t="shared" si="3"/>
        <v>0</v>
      </c>
      <c r="Q29" s="179"/>
      <c r="R29" s="182" t="s">
        <v>396</v>
      </c>
      <c r="S29" s="175">
        <f t="shared" si="4"/>
        <v>0</v>
      </c>
      <c r="T29" s="179"/>
      <c r="U29" s="188" t="s">
        <v>396</v>
      </c>
      <c r="V29" s="189">
        <f t="shared" si="5"/>
        <v>0</v>
      </c>
    </row>
    <row r="30" spans="1:22" s="148" customFormat="1" ht="24.75" customHeight="1">
      <c r="A30" s="150" t="s">
        <v>275</v>
      </c>
      <c r="B30" s="840">
        <f t="shared" si="6"/>
        <v>7900</v>
      </c>
      <c r="C30" s="841"/>
      <c r="D30" s="842"/>
      <c r="E30" s="151"/>
      <c r="F30" s="161">
        <v>79</v>
      </c>
      <c r="G30" s="161"/>
      <c r="H30" s="161">
        <v>168</v>
      </c>
      <c r="I30" s="161">
        <v>-575</v>
      </c>
      <c r="J30" s="152">
        <v>800</v>
      </c>
      <c r="K30" s="837">
        <v>1700</v>
      </c>
      <c r="L30" s="838"/>
      <c r="M30" s="839"/>
      <c r="N30" s="837">
        <v>1900</v>
      </c>
      <c r="O30" s="838"/>
      <c r="P30" s="839"/>
      <c r="Q30" s="837">
        <v>1700</v>
      </c>
      <c r="R30" s="838"/>
      <c r="S30" s="839"/>
      <c r="T30" s="837">
        <v>1800</v>
      </c>
      <c r="U30" s="838"/>
      <c r="V30" s="839"/>
    </row>
    <row r="31" spans="1:22" s="159" customFormat="1" ht="24.75" customHeight="1" hidden="1">
      <c r="A31" s="157" t="s">
        <v>273</v>
      </c>
      <c r="B31" s="177">
        <f t="shared" si="6"/>
        <v>0</v>
      </c>
      <c r="C31" s="181" t="s">
        <v>396</v>
      </c>
      <c r="D31" s="174">
        <f t="shared" si="1"/>
        <v>0</v>
      </c>
      <c r="E31" s="158"/>
      <c r="F31" s="152">
        <v>1404</v>
      </c>
      <c r="G31" s="152"/>
      <c r="H31" s="152">
        <v>3360</v>
      </c>
      <c r="I31" s="152">
        <v>3000</v>
      </c>
      <c r="J31" s="152"/>
      <c r="K31" s="179"/>
      <c r="L31" s="182" t="s">
        <v>396</v>
      </c>
      <c r="M31" s="175">
        <f t="shared" si="2"/>
        <v>0</v>
      </c>
      <c r="N31" s="179"/>
      <c r="O31" s="182" t="s">
        <v>396</v>
      </c>
      <c r="P31" s="175">
        <f t="shared" si="3"/>
        <v>0</v>
      </c>
      <c r="Q31" s="179"/>
      <c r="R31" s="182" t="s">
        <v>396</v>
      </c>
      <c r="S31" s="175">
        <f t="shared" si="4"/>
        <v>0</v>
      </c>
      <c r="T31" s="179"/>
      <c r="U31" s="188" t="s">
        <v>396</v>
      </c>
      <c r="V31" s="189">
        <f t="shared" si="5"/>
        <v>0</v>
      </c>
    </row>
    <row r="32" spans="1:22" s="159" customFormat="1" ht="24.75" customHeight="1" hidden="1">
      <c r="A32" s="157" t="s">
        <v>274</v>
      </c>
      <c r="B32" s="177">
        <f t="shared" si="6"/>
        <v>0</v>
      </c>
      <c r="C32" s="181" t="s">
        <v>396</v>
      </c>
      <c r="D32" s="174">
        <f t="shared" si="1"/>
        <v>0</v>
      </c>
      <c r="E32" s="158"/>
      <c r="F32" s="152">
        <v>1325</v>
      </c>
      <c r="G32" s="152"/>
      <c r="H32" s="152">
        <v>3192</v>
      </c>
      <c r="I32" s="152">
        <v>3575</v>
      </c>
      <c r="J32" s="152"/>
      <c r="K32" s="179"/>
      <c r="L32" s="182" t="s">
        <v>396</v>
      </c>
      <c r="M32" s="175">
        <f t="shared" si="2"/>
        <v>0</v>
      </c>
      <c r="N32" s="179"/>
      <c r="O32" s="182" t="s">
        <v>396</v>
      </c>
      <c r="P32" s="175">
        <f t="shared" si="3"/>
        <v>0</v>
      </c>
      <c r="Q32" s="179"/>
      <c r="R32" s="182" t="s">
        <v>396</v>
      </c>
      <c r="S32" s="175">
        <f t="shared" si="4"/>
        <v>0</v>
      </c>
      <c r="T32" s="179"/>
      <c r="U32" s="188" t="s">
        <v>396</v>
      </c>
      <c r="V32" s="189">
        <f t="shared" si="5"/>
        <v>0</v>
      </c>
    </row>
    <row r="33" spans="1:22" s="148" customFormat="1" ht="24.75" customHeight="1" hidden="1">
      <c r="A33" s="150" t="s">
        <v>276</v>
      </c>
      <c r="B33" s="177">
        <f t="shared" si="6"/>
        <v>0</v>
      </c>
      <c r="C33" s="181" t="s">
        <v>396</v>
      </c>
      <c r="D33" s="174">
        <f t="shared" si="1"/>
        <v>0</v>
      </c>
      <c r="E33" s="151"/>
      <c r="F33" s="161">
        <v>6243</v>
      </c>
      <c r="G33" s="161"/>
      <c r="H33" s="161">
        <v>1300</v>
      </c>
      <c r="I33" s="161">
        <v>2000</v>
      </c>
      <c r="J33" s="152"/>
      <c r="K33" s="179"/>
      <c r="L33" s="182" t="s">
        <v>396</v>
      </c>
      <c r="M33" s="175">
        <f t="shared" si="2"/>
        <v>0</v>
      </c>
      <c r="N33" s="179"/>
      <c r="O33" s="182" t="s">
        <v>396</v>
      </c>
      <c r="P33" s="175">
        <f t="shared" si="3"/>
        <v>0</v>
      </c>
      <c r="Q33" s="179"/>
      <c r="R33" s="182" t="s">
        <v>396</v>
      </c>
      <c r="S33" s="175">
        <f t="shared" si="4"/>
        <v>0</v>
      </c>
      <c r="T33" s="179"/>
      <c r="U33" s="188" t="s">
        <v>396</v>
      </c>
      <c r="V33" s="189">
        <f t="shared" si="5"/>
        <v>0</v>
      </c>
    </row>
    <row r="34" spans="1:22" s="148" customFormat="1" ht="24.75" customHeight="1" hidden="1">
      <c r="A34" s="150" t="s">
        <v>277</v>
      </c>
      <c r="B34" s="177">
        <f t="shared" si="6"/>
        <v>0</v>
      </c>
      <c r="C34" s="181" t="s">
        <v>396</v>
      </c>
      <c r="D34" s="174">
        <f t="shared" si="1"/>
        <v>0</v>
      </c>
      <c r="E34" s="151"/>
      <c r="F34" s="161">
        <v>2623</v>
      </c>
      <c r="G34" s="161"/>
      <c r="H34" s="161">
        <v>4800</v>
      </c>
      <c r="I34" s="161">
        <v>2500</v>
      </c>
      <c r="J34" s="152"/>
      <c r="K34" s="179"/>
      <c r="L34" s="182" t="s">
        <v>396</v>
      </c>
      <c r="M34" s="175">
        <f t="shared" si="2"/>
        <v>0</v>
      </c>
      <c r="N34" s="179"/>
      <c r="O34" s="182" t="s">
        <v>396</v>
      </c>
      <c r="P34" s="175">
        <f t="shared" si="3"/>
        <v>0</v>
      </c>
      <c r="Q34" s="179"/>
      <c r="R34" s="182" t="s">
        <v>396</v>
      </c>
      <c r="S34" s="175">
        <f t="shared" si="4"/>
        <v>0</v>
      </c>
      <c r="T34" s="179"/>
      <c r="U34" s="188" t="s">
        <v>396</v>
      </c>
      <c r="V34" s="189">
        <f t="shared" si="5"/>
        <v>0</v>
      </c>
    </row>
    <row r="35" spans="1:22" s="148" customFormat="1" ht="24.75" customHeight="1">
      <c r="A35" s="150" t="s">
        <v>313</v>
      </c>
      <c r="B35" s="840">
        <f t="shared" si="6"/>
        <v>10400</v>
      </c>
      <c r="C35" s="841"/>
      <c r="D35" s="842"/>
      <c r="E35" s="151"/>
      <c r="F35" s="161"/>
      <c r="G35" s="161"/>
      <c r="H35" s="161"/>
      <c r="I35" s="161"/>
      <c r="J35" s="152">
        <v>1200</v>
      </c>
      <c r="K35" s="837">
        <v>2000</v>
      </c>
      <c r="L35" s="838"/>
      <c r="M35" s="839"/>
      <c r="N35" s="837">
        <v>2200</v>
      </c>
      <c r="O35" s="838"/>
      <c r="P35" s="839"/>
      <c r="Q35" s="837">
        <v>2500</v>
      </c>
      <c r="R35" s="838"/>
      <c r="S35" s="839"/>
      <c r="T35" s="837">
        <v>2500</v>
      </c>
      <c r="U35" s="838"/>
      <c r="V35" s="839"/>
    </row>
    <row r="36" spans="1:22" s="159" customFormat="1" ht="15.75" customHeight="1">
      <c r="A36" s="157"/>
      <c r="B36" s="177"/>
      <c r="C36" s="181"/>
      <c r="D36" s="174"/>
      <c r="E36" s="158"/>
      <c r="F36" s="152"/>
      <c r="G36" s="152"/>
      <c r="H36" s="152"/>
      <c r="I36" s="152"/>
      <c r="J36" s="152"/>
      <c r="K36" s="179"/>
      <c r="L36" s="182"/>
      <c r="M36" s="175"/>
      <c r="N36" s="179"/>
      <c r="O36" s="182"/>
      <c r="P36" s="175"/>
      <c r="Q36" s="179"/>
      <c r="R36" s="182"/>
      <c r="S36" s="175"/>
      <c r="T36" s="179"/>
      <c r="U36" s="188"/>
      <c r="V36" s="189"/>
    </row>
    <row r="37" spans="1:22" s="148" customFormat="1" ht="24.75" customHeight="1">
      <c r="A37" s="150" t="s">
        <v>278</v>
      </c>
      <c r="B37" s="840">
        <f t="shared" si="6"/>
        <v>-12500</v>
      </c>
      <c r="C37" s="841"/>
      <c r="D37" s="842"/>
      <c r="E37" s="151"/>
      <c r="F37" s="161">
        <v>-380</v>
      </c>
      <c r="G37" s="161"/>
      <c r="H37" s="161">
        <v>-300</v>
      </c>
      <c r="I37" s="161">
        <v>-300</v>
      </c>
      <c r="J37" s="152">
        <v>-2500</v>
      </c>
      <c r="K37" s="837">
        <v>-2500</v>
      </c>
      <c r="L37" s="838"/>
      <c r="M37" s="839"/>
      <c r="N37" s="837">
        <v>-2500</v>
      </c>
      <c r="O37" s="838"/>
      <c r="P37" s="839"/>
      <c r="Q37" s="837">
        <v>-2500</v>
      </c>
      <c r="R37" s="838"/>
      <c r="S37" s="839"/>
      <c r="T37" s="837">
        <v>-2500</v>
      </c>
      <c r="U37" s="838"/>
      <c r="V37" s="839"/>
    </row>
    <row r="38" spans="1:22" s="159" customFormat="1" ht="15" customHeight="1">
      <c r="A38" s="157"/>
      <c r="B38" s="177"/>
      <c r="C38" s="181"/>
      <c r="D38" s="174"/>
      <c r="E38" s="158"/>
      <c r="F38" s="152"/>
      <c r="G38" s="152"/>
      <c r="H38" s="152"/>
      <c r="I38" s="152"/>
      <c r="J38" s="152"/>
      <c r="K38" s="179"/>
      <c r="L38" s="182"/>
      <c r="M38" s="175"/>
      <c r="N38" s="179"/>
      <c r="O38" s="182"/>
      <c r="P38" s="175"/>
      <c r="Q38" s="179"/>
      <c r="R38" s="182"/>
      <c r="S38" s="175"/>
      <c r="T38" s="179"/>
      <c r="U38" s="188"/>
      <c r="V38" s="189"/>
    </row>
    <row r="39" spans="1:22" s="148" customFormat="1" ht="24.75" customHeight="1">
      <c r="A39" s="168" t="s">
        <v>279</v>
      </c>
      <c r="B39" s="203" t="e">
        <f t="shared" si="6"/>
        <v>#REF!</v>
      </c>
      <c r="C39" s="190" t="s">
        <v>396</v>
      </c>
      <c r="D39" s="202" t="e">
        <f t="shared" si="1"/>
        <v>#REF!</v>
      </c>
      <c r="E39" s="170"/>
      <c r="F39" s="171"/>
      <c r="G39" s="171"/>
      <c r="H39" s="171"/>
      <c r="I39" s="171"/>
      <c r="J39" s="169" t="e">
        <f>+J22+J24+J37</f>
        <v>#REF!</v>
      </c>
      <c r="K39" s="204" t="e">
        <f>+K22+K24+K37</f>
        <v>#REF!</v>
      </c>
      <c r="L39" s="183" t="s">
        <v>396</v>
      </c>
      <c r="M39" s="201" t="e">
        <f t="shared" si="2"/>
        <v>#REF!</v>
      </c>
      <c r="N39" s="204" t="e">
        <f>+N22+N24+N37</f>
        <v>#REF!</v>
      </c>
      <c r="O39" s="183" t="s">
        <v>396</v>
      </c>
      <c r="P39" s="201" t="e">
        <f t="shared" si="3"/>
        <v>#REF!</v>
      </c>
      <c r="Q39" s="204" t="e">
        <f>+Q22+Q24+Q37</f>
        <v>#REF!</v>
      </c>
      <c r="R39" s="183" t="s">
        <v>396</v>
      </c>
      <c r="S39" s="201" t="e">
        <f t="shared" si="4"/>
        <v>#REF!</v>
      </c>
      <c r="T39" s="204" t="e">
        <f>+T22+T24+T37</f>
        <v>#REF!</v>
      </c>
      <c r="U39" s="191" t="s">
        <v>396</v>
      </c>
      <c r="V39" s="201" t="e">
        <f t="shared" si="5"/>
        <v>#REF!</v>
      </c>
    </row>
    <row r="40" spans="1:20" s="172" customFormat="1" ht="36" customHeight="1" hidden="1">
      <c r="A40" s="176" t="s">
        <v>394</v>
      </c>
      <c r="B40" s="176"/>
      <c r="C40" s="176"/>
      <c r="D40" s="176"/>
      <c r="E40" s="176"/>
      <c r="F40" s="176"/>
      <c r="G40" s="176"/>
      <c r="H40" s="176"/>
      <c r="I40" s="176"/>
      <c r="J40" s="185"/>
      <c r="K40" s="176"/>
      <c r="L40" s="186" t="s">
        <v>396</v>
      </c>
      <c r="M40" s="176"/>
      <c r="N40" s="176"/>
      <c r="O40" s="176"/>
      <c r="P40" s="176"/>
      <c r="Q40" s="176"/>
      <c r="R40" s="176"/>
      <c r="S40" s="176"/>
      <c r="T40" s="176"/>
    </row>
    <row r="41" spans="1:20" s="148" customFormat="1" ht="24.75" customHeight="1" hidden="1">
      <c r="A41" s="144" t="s">
        <v>258</v>
      </c>
      <c r="B41" s="145" t="e">
        <f>SUM(J41:T41)</f>
        <v>#REF!</v>
      </c>
      <c r="C41" s="145"/>
      <c r="D41" s="145"/>
      <c r="E41" s="146"/>
      <c r="F41" s="147">
        <f>F42-F43</f>
        <v>-10360</v>
      </c>
      <c r="G41" s="147"/>
      <c r="H41" s="147">
        <f>H42-H43</f>
        <v>-14960</v>
      </c>
      <c r="I41" s="147">
        <f>I42-I43</f>
        <v>-14800</v>
      </c>
      <c r="J41" s="147" t="e">
        <f>+J42-J43</f>
        <v>#REF!</v>
      </c>
      <c r="K41" s="147" t="e">
        <f>+K42-K43</f>
        <v>#REF!</v>
      </c>
      <c r="L41" s="184" t="s">
        <v>396</v>
      </c>
      <c r="M41" s="147"/>
      <c r="N41" s="147" t="e">
        <f>+N42-N43</f>
        <v>#REF!</v>
      </c>
      <c r="O41" s="147"/>
      <c r="P41" s="147"/>
      <c r="Q41" s="147" t="e">
        <f>+Q42-Q43</f>
        <v>#REF!</v>
      </c>
      <c r="R41" s="147"/>
      <c r="S41" s="147"/>
      <c r="T41" s="147" t="e">
        <f>+T42-T43</f>
        <v>#REF!</v>
      </c>
    </row>
    <row r="42" spans="1:20" s="159" customFormat="1" ht="24.75" customHeight="1" hidden="1">
      <c r="A42" s="157" t="s">
        <v>259</v>
      </c>
      <c r="B42" s="149" t="e">
        <f>SUM(J42:T42)</f>
        <v>#REF!</v>
      </c>
      <c r="C42" s="149"/>
      <c r="D42" s="149"/>
      <c r="E42" s="158"/>
      <c r="F42" s="152">
        <v>48561</v>
      </c>
      <c r="G42" s="152"/>
      <c r="H42" s="152">
        <v>64000</v>
      </c>
      <c r="I42" s="152">
        <v>76700</v>
      </c>
      <c r="J42" s="152" t="e">
        <f>+#REF!*1000</f>
        <v>#REF!</v>
      </c>
      <c r="K42" s="152" t="e">
        <f>+#REF!*1000</f>
        <v>#REF!</v>
      </c>
      <c r="L42" s="184" t="s">
        <v>396</v>
      </c>
      <c r="M42" s="152"/>
      <c r="N42" s="152" t="e">
        <f>+#REF!*1000</f>
        <v>#REF!</v>
      </c>
      <c r="O42" s="152"/>
      <c r="P42" s="152"/>
      <c r="Q42" s="152" t="e">
        <f>+#REF!*1000</f>
        <v>#REF!</v>
      </c>
      <c r="R42" s="152"/>
      <c r="S42" s="152"/>
      <c r="T42" s="152" t="e">
        <f>+#REF!*1000</f>
        <v>#REF!</v>
      </c>
    </row>
    <row r="43" spans="1:20" s="159" customFormat="1" ht="24.75" customHeight="1" hidden="1">
      <c r="A43" s="157" t="s">
        <v>260</v>
      </c>
      <c r="B43" s="149" t="e">
        <f>SUM(J43:T43)</f>
        <v>#REF!</v>
      </c>
      <c r="C43" s="149"/>
      <c r="D43" s="149"/>
      <c r="E43" s="158"/>
      <c r="F43" s="152">
        <v>58921</v>
      </c>
      <c r="G43" s="160"/>
      <c r="H43" s="160">
        <v>78960</v>
      </c>
      <c r="I43" s="160">
        <v>91500</v>
      </c>
      <c r="J43" s="152" t="e">
        <f>0.9*J44</f>
        <v>#REF!</v>
      </c>
      <c r="K43" s="152" t="e">
        <f>0.9*K44</f>
        <v>#REF!</v>
      </c>
      <c r="L43" s="184" t="s">
        <v>396</v>
      </c>
      <c r="M43" s="152"/>
      <c r="N43" s="152" t="e">
        <f>0.9*N44</f>
        <v>#REF!</v>
      </c>
      <c r="O43" s="152"/>
      <c r="P43" s="152"/>
      <c r="Q43" s="152" t="e">
        <f>0.9*Q44</f>
        <v>#REF!</v>
      </c>
      <c r="R43" s="152"/>
      <c r="S43" s="152"/>
      <c r="T43" s="152" t="e">
        <f>0.9*T44</f>
        <v>#REF!</v>
      </c>
    </row>
    <row r="44" spans="1:20" s="159" customFormat="1" ht="24.75" customHeight="1" hidden="1">
      <c r="A44" s="157" t="s">
        <v>261</v>
      </c>
      <c r="B44" s="149" t="e">
        <f>SUM(J44:T44)</f>
        <v>#REF!</v>
      </c>
      <c r="C44" s="149"/>
      <c r="D44" s="149"/>
      <c r="E44" s="158"/>
      <c r="F44" s="152">
        <v>62682</v>
      </c>
      <c r="G44" s="160"/>
      <c r="H44" s="160">
        <v>84000</v>
      </c>
      <c r="I44" s="160">
        <v>97400</v>
      </c>
      <c r="J44" s="152" t="e">
        <f>+#REF!*1000</f>
        <v>#REF!</v>
      </c>
      <c r="K44" s="152" t="e">
        <f>+#REF!*1000</f>
        <v>#REF!</v>
      </c>
      <c r="L44" s="184" t="s">
        <v>396</v>
      </c>
      <c r="M44" s="152"/>
      <c r="N44" s="152" t="e">
        <f>+#REF!*1000</f>
        <v>#REF!</v>
      </c>
      <c r="O44" s="152"/>
      <c r="P44" s="152"/>
      <c r="Q44" s="152" t="e">
        <f>+#REF!*1000</f>
        <v>#REF!</v>
      </c>
      <c r="R44" s="152"/>
      <c r="S44" s="152"/>
      <c r="T44" s="152" t="e">
        <f>+#REF!*1000</f>
        <v>#REF!</v>
      </c>
    </row>
    <row r="45" spans="1:20" s="159" customFormat="1" ht="15" customHeight="1" hidden="1">
      <c r="A45" s="157"/>
      <c r="B45" s="158"/>
      <c r="C45" s="158"/>
      <c r="D45" s="158"/>
      <c r="E45" s="158"/>
      <c r="F45" s="152"/>
      <c r="G45" s="152"/>
      <c r="H45" s="152"/>
      <c r="I45" s="152"/>
      <c r="J45" s="152"/>
      <c r="K45" s="152"/>
      <c r="L45" s="184" t="s">
        <v>396</v>
      </c>
      <c r="M45" s="152"/>
      <c r="N45" s="152"/>
      <c r="O45" s="152"/>
      <c r="P45" s="152"/>
      <c r="Q45" s="152"/>
      <c r="R45" s="152"/>
      <c r="S45" s="152"/>
      <c r="T45" s="152"/>
    </row>
    <row r="46" spans="1:20" s="148" customFormat="1" ht="35.25" customHeight="1" hidden="1">
      <c r="A46" s="150" t="s">
        <v>262</v>
      </c>
      <c r="B46" s="149">
        <f>+SUM(J46:T46)</f>
        <v>-11500</v>
      </c>
      <c r="C46" s="149"/>
      <c r="D46" s="149"/>
      <c r="E46" s="151"/>
      <c r="F46" s="161">
        <f>F47-F48</f>
        <v>-894</v>
      </c>
      <c r="G46" s="161"/>
      <c r="H46" s="161">
        <v>-1300</v>
      </c>
      <c r="I46" s="161">
        <v>-1391</v>
      </c>
      <c r="J46" s="152">
        <v>-3000</v>
      </c>
      <c r="K46" s="152">
        <v>-1500</v>
      </c>
      <c r="L46" s="184" t="s">
        <v>396</v>
      </c>
      <c r="M46" s="152"/>
      <c r="N46" s="152">
        <v>-2000</v>
      </c>
      <c r="O46" s="152"/>
      <c r="P46" s="152"/>
      <c r="Q46" s="152">
        <v>-2500</v>
      </c>
      <c r="R46" s="152"/>
      <c r="S46" s="152"/>
      <c r="T46" s="152">
        <v>-2500</v>
      </c>
    </row>
    <row r="47" spans="1:20" s="159" customFormat="1" ht="24.75" customHeight="1" hidden="1">
      <c r="A47" s="157" t="s">
        <v>263</v>
      </c>
      <c r="B47" s="149">
        <f aca="true" t="shared" si="7" ref="B47:B73">+SUM(J47:T47)</f>
        <v>0</v>
      </c>
      <c r="C47" s="149"/>
      <c r="D47" s="149"/>
      <c r="E47" s="158"/>
      <c r="F47" s="152">
        <v>6030</v>
      </c>
      <c r="G47" s="152"/>
      <c r="H47" s="152">
        <v>7055</v>
      </c>
      <c r="I47" s="152">
        <v>7549</v>
      </c>
      <c r="J47" s="152"/>
      <c r="K47" s="152"/>
      <c r="L47" s="184" t="s">
        <v>396</v>
      </c>
      <c r="M47" s="152"/>
      <c r="N47" s="152"/>
      <c r="O47" s="152"/>
      <c r="P47" s="152"/>
      <c r="Q47" s="152"/>
      <c r="R47" s="152"/>
      <c r="S47" s="152"/>
      <c r="T47" s="152"/>
    </row>
    <row r="48" spans="1:20" s="159" customFormat="1" ht="24.75" customHeight="1" hidden="1">
      <c r="A48" s="157" t="s">
        <v>264</v>
      </c>
      <c r="B48" s="149">
        <f t="shared" si="7"/>
        <v>0</v>
      </c>
      <c r="C48" s="149"/>
      <c r="D48" s="149"/>
      <c r="E48" s="158"/>
      <c r="F48" s="152">
        <v>6924</v>
      </c>
      <c r="G48" s="152"/>
      <c r="H48" s="152">
        <v>8355</v>
      </c>
      <c r="I48" s="152">
        <v>8940</v>
      </c>
      <c r="J48" s="152"/>
      <c r="K48" s="152"/>
      <c r="L48" s="184" t="s">
        <v>396</v>
      </c>
      <c r="M48" s="152"/>
      <c r="N48" s="152"/>
      <c r="O48" s="152"/>
      <c r="P48" s="152"/>
      <c r="Q48" s="152"/>
      <c r="R48" s="152"/>
      <c r="S48" s="152"/>
      <c r="T48" s="152"/>
    </row>
    <row r="49" spans="1:20" s="148" customFormat="1" ht="33.75" customHeight="1" hidden="1">
      <c r="A49" s="150" t="s">
        <v>265</v>
      </c>
      <c r="B49" s="149">
        <f t="shared" si="7"/>
        <v>-34086</v>
      </c>
      <c r="C49" s="149"/>
      <c r="D49" s="149"/>
      <c r="E49" s="151"/>
      <c r="F49" s="161">
        <f>F50-F51</f>
        <v>-2168</v>
      </c>
      <c r="G49" s="161"/>
      <c r="H49" s="161">
        <f>H50-H51</f>
        <v>-2432</v>
      </c>
      <c r="I49" s="161">
        <f>I50-I51</f>
        <v>-2602</v>
      </c>
      <c r="J49" s="152">
        <v>-5124</v>
      </c>
      <c r="K49" s="152">
        <v>-6950</v>
      </c>
      <c r="L49" s="184" t="s">
        <v>396</v>
      </c>
      <c r="M49" s="152"/>
      <c r="N49" s="152">
        <v>-6452</v>
      </c>
      <c r="O49" s="152"/>
      <c r="P49" s="152"/>
      <c r="Q49" s="152">
        <v>-7109</v>
      </c>
      <c r="R49" s="152"/>
      <c r="S49" s="152"/>
      <c r="T49" s="152">
        <v>-8451</v>
      </c>
    </row>
    <row r="50" spans="1:20" s="159" customFormat="1" ht="24.75" customHeight="1" hidden="1">
      <c r="A50" s="157" t="s">
        <v>263</v>
      </c>
      <c r="B50" s="149">
        <f t="shared" si="7"/>
        <v>0</v>
      </c>
      <c r="C50" s="149"/>
      <c r="D50" s="149"/>
      <c r="E50" s="158"/>
      <c r="F50" s="152">
        <v>1093</v>
      </c>
      <c r="G50" s="152"/>
      <c r="H50" s="152">
        <v>1268</v>
      </c>
      <c r="I50" s="152">
        <v>1357</v>
      </c>
      <c r="J50" s="152"/>
      <c r="K50" s="152"/>
      <c r="L50" s="184" t="s">
        <v>396</v>
      </c>
      <c r="M50" s="152"/>
      <c r="N50" s="152"/>
      <c r="O50" s="152"/>
      <c r="P50" s="152"/>
      <c r="Q50" s="152"/>
      <c r="R50" s="152"/>
      <c r="S50" s="152"/>
      <c r="T50" s="152"/>
    </row>
    <row r="51" spans="1:20" s="159" customFormat="1" ht="24.75" customHeight="1" hidden="1">
      <c r="A51" s="157" t="s">
        <v>264</v>
      </c>
      <c r="B51" s="149">
        <f t="shared" si="7"/>
        <v>0</v>
      </c>
      <c r="C51" s="149"/>
      <c r="D51" s="149"/>
      <c r="E51" s="158"/>
      <c r="F51" s="152">
        <v>3261</v>
      </c>
      <c r="G51" s="152"/>
      <c r="H51" s="152">
        <v>3700</v>
      </c>
      <c r="I51" s="152">
        <v>3959</v>
      </c>
      <c r="J51" s="152"/>
      <c r="K51" s="152"/>
      <c r="L51" s="184" t="s">
        <v>396</v>
      </c>
      <c r="M51" s="152"/>
      <c r="N51" s="152"/>
      <c r="O51" s="152"/>
      <c r="P51" s="152"/>
      <c r="Q51" s="152"/>
      <c r="R51" s="152"/>
      <c r="S51" s="152"/>
      <c r="T51" s="152"/>
    </row>
    <row r="52" spans="1:20" s="148" customFormat="1" ht="32.25" customHeight="1" hidden="1">
      <c r="A52" s="150" t="s">
        <v>266</v>
      </c>
      <c r="B52" s="149">
        <f t="shared" si="7"/>
        <v>32038</v>
      </c>
      <c r="C52" s="149"/>
      <c r="D52" s="149"/>
      <c r="E52" s="151"/>
      <c r="F52" s="161">
        <v>6430</v>
      </c>
      <c r="G52" s="161"/>
      <c r="H52" s="161">
        <v>7257</v>
      </c>
      <c r="I52" s="161">
        <v>8100</v>
      </c>
      <c r="J52" s="152">
        <v>6500</v>
      </c>
      <c r="K52" s="152">
        <v>5700</v>
      </c>
      <c r="L52" s="184" t="s">
        <v>396</v>
      </c>
      <c r="M52" s="152"/>
      <c r="N52" s="152">
        <v>6270</v>
      </c>
      <c r="O52" s="152"/>
      <c r="P52" s="152"/>
      <c r="Q52" s="152">
        <v>6717</v>
      </c>
      <c r="R52" s="152"/>
      <c r="S52" s="152"/>
      <c r="T52" s="152">
        <v>6851</v>
      </c>
    </row>
    <row r="53" spans="1:20" s="159" customFormat="1" ht="24.75" customHeight="1" hidden="1">
      <c r="A53" s="157" t="s">
        <v>267</v>
      </c>
      <c r="B53" s="149">
        <f t="shared" si="7"/>
        <v>0</v>
      </c>
      <c r="C53" s="149"/>
      <c r="D53" s="149"/>
      <c r="E53" s="158"/>
      <c r="F53" s="152">
        <v>250</v>
      </c>
      <c r="G53" s="152"/>
      <c r="H53" s="152">
        <v>257</v>
      </c>
      <c r="I53" s="152">
        <v>260</v>
      </c>
      <c r="J53" s="152"/>
      <c r="K53" s="152"/>
      <c r="L53" s="184" t="s">
        <v>396</v>
      </c>
      <c r="M53" s="152"/>
      <c r="N53" s="152"/>
      <c r="O53" s="152"/>
      <c r="P53" s="152"/>
      <c r="Q53" s="152"/>
      <c r="R53" s="152"/>
      <c r="S53" s="152"/>
      <c r="T53" s="152"/>
    </row>
    <row r="54" spans="1:20" s="159" customFormat="1" ht="24.75" customHeight="1" hidden="1">
      <c r="A54" s="157" t="s">
        <v>268</v>
      </c>
      <c r="B54" s="149">
        <f t="shared" si="7"/>
        <v>0</v>
      </c>
      <c r="C54" s="149"/>
      <c r="D54" s="149"/>
      <c r="E54" s="158"/>
      <c r="F54" s="152">
        <v>6180</v>
      </c>
      <c r="G54" s="152"/>
      <c r="H54" s="152">
        <v>7000</v>
      </c>
      <c r="I54" s="152">
        <v>7840</v>
      </c>
      <c r="J54" s="152"/>
      <c r="K54" s="152"/>
      <c r="L54" s="184" t="s">
        <v>396</v>
      </c>
      <c r="M54" s="152"/>
      <c r="N54" s="152"/>
      <c r="O54" s="152"/>
      <c r="P54" s="152"/>
      <c r="Q54" s="152"/>
      <c r="R54" s="152"/>
      <c r="S54" s="152"/>
      <c r="T54" s="152"/>
    </row>
    <row r="55" spans="1:20" s="159" customFormat="1" ht="12" customHeight="1" hidden="1">
      <c r="A55" s="157"/>
      <c r="B55" s="149"/>
      <c r="C55" s="149"/>
      <c r="D55" s="149"/>
      <c r="E55" s="158"/>
      <c r="F55" s="152"/>
      <c r="G55" s="152"/>
      <c r="H55" s="152"/>
      <c r="I55" s="152"/>
      <c r="J55" s="152"/>
      <c r="K55" s="152"/>
      <c r="L55" s="184" t="s">
        <v>396</v>
      </c>
      <c r="M55" s="152"/>
      <c r="N55" s="152"/>
      <c r="O55" s="152"/>
      <c r="P55" s="152"/>
      <c r="Q55" s="152"/>
      <c r="R55" s="152"/>
      <c r="S55" s="152"/>
      <c r="T55" s="152"/>
    </row>
    <row r="56" spans="1:20" s="148" customFormat="1" ht="24.75" customHeight="1" hidden="1">
      <c r="A56" s="153" t="s">
        <v>269</v>
      </c>
      <c r="B56" s="149" t="e">
        <f t="shared" si="7"/>
        <v>#REF!</v>
      </c>
      <c r="C56" s="149"/>
      <c r="D56" s="149"/>
      <c r="E56" s="154"/>
      <c r="F56" s="161">
        <v>-6992</v>
      </c>
      <c r="G56" s="161"/>
      <c r="H56" s="161">
        <v>-11435</v>
      </c>
      <c r="I56" s="161">
        <v>-10690</v>
      </c>
      <c r="J56" s="152" t="e">
        <f>+J41+J46+J49+J52</f>
        <v>#REF!</v>
      </c>
      <c r="K56" s="152" t="e">
        <f>+K41+K46+K49+K52</f>
        <v>#REF!</v>
      </c>
      <c r="L56" s="184" t="s">
        <v>396</v>
      </c>
      <c r="M56" s="152"/>
      <c r="N56" s="152" t="e">
        <f>+N41+N46+N49+N52</f>
        <v>#REF!</v>
      </c>
      <c r="O56" s="152"/>
      <c r="P56" s="152"/>
      <c r="Q56" s="152" t="e">
        <f>+Q41+Q46+Q49+Q52</f>
        <v>#REF!</v>
      </c>
      <c r="R56" s="152"/>
      <c r="S56" s="152"/>
      <c r="T56" s="152" t="e">
        <f>+T41+T46+T49+T52</f>
        <v>#REF!</v>
      </c>
    </row>
    <row r="57" spans="1:20" s="159" customFormat="1" ht="12.75" customHeight="1" hidden="1">
      <c r="A57" s="157"/>
      <c r="B57" s="149"/>
      <c r="C57" s="149"/>
      <c r="D57" s="149"/>
      <c r="E57" s="158"/>
      <c r="F57" s="152"/>
      <c r="G57" s="152"/>
      <c r="H57" s="152"/>
      <c r="I57" s="152"/>
      <c r="J57" s="152"/>
      <c r="K57" s="152"/>
      <c r="L57" s="184" t="s">
        <v>396</v>
      </c>
      <c r="M57" s="152"/>
      <c r="N57" s="152"/>
      <c r="O57" s="152"/>
      <c r="P57" s="152"/>
      <c r="Q57" s="152"/>
      <c r="R57" s="152"/>
      <c r="S57" s="152"/>
      <c r="T57" s="152"/>
    </row>
    <row r="58" spans="1:20" s="159" customFormat="1" ht="24.75" customHeight="1" hidden="1">
      <c r="A58" s="153" t="s">
        <v>270</v>
      </c>
      <c r="B58" s="149" t="e">
        <f t="shared" si="7"/>
        <v>#REF!</v>
      </c>
      <c r="C58" s="149"/>
      <c r="D58" s="149"/>
      <c r="E58" s="158"/>
      <c r="F58" s="152"/>
      <c r="G58" s="152"/>
      <c r="H58" s="152"/>
      <c r="I58" s="152"/>
      <c r="J58" s="152" t="e">
        <f>+J60+J61+J64+J69-3600</f>
        <v>#REF!</v>
      </c>
      <c r="K58" s="152" t="e">
        <f>+K60+K61+K64+K69-3600</f>
        <v>#REF!</v>
      </c>
      <c r="L58" s="184" t="s">
        <v>396</v>
      </c>
      <c r="M58" s="152"/>
      <c r="N58" s="152" t="e">
        <f>+N60+N61+N64+N69-3600</f>
        <v>#REF!</v>
      </c>
      <c r="O58" s="152"/>
      <c r="P58" s="152"/>
      <c r="Q58" s="152" t="e">
        <f>+Q60+Q61+Q64+Q69-3600</f>
        <v>#REF!</v>
      </c>
      <c r="R58" s="152"/>
      <c r="S58" s="152"/>
      <c r="T58" s="152" t="e">
        <f>+T60+T61+T64+T69-3600</f>
        <v>#REF!</v>
      </c>
    </row>
    <row r="59" spans="1:20" s="159" customFormat="1" ht="15.75" customHeight="1" hidden="1">
      <c r="A59" s="157"/>
      <c r="B59" s="149"/>
      <c r="C59" s="149"/>
      <c r="D59" s="149"/>
      <c r="E59" s="158"/>
      <c r="F59" s="152"/>
      <c r="G59" s="152"/>
      <c r="H59" s="152"/>
      <c r="I59" s="152"/>
      <c r="J59" s="152"/>
      <c r="K59" s="152"/>
      <c r="L59" s="184" t="s">
        <v>396</v>
      </c>
      <c r="M59" s="152"/>
      <c r="N59" s="152"/>
      <c r="O59" s="152"/>
      <c r="P59" s="152"/>
      <c r="Q59" s="152"/>
      <c r="R59" s="152"/>
      <c r="S59" s="152"/>
      <c r="T59" s="152"/>
    </row>
    <row r="60" spans="1:20" s="148" customFormat="1" ht="24.75" customHeight="1" hidden="1">
      <c r="A60" s="150" t="s">
        <v>271</v>
      </c>
      <c r="B60" s="152" t="e">
        <f t="shared" si="7"/>
        <v>#REF!</v>
      </c>
      <c r="C60" s="152"/>
      <c r="D60" s="152"/>
      <c r="E60" s="151"/>
      <c r="F60" s="161"/>
      <c r="G60" s="161"/>
      <c r="H60" s="161"/>
      <c r="I60" s="161"/>
      <c r="J60" s="152" t="e">
        <f>+#REF!*1000-900</f>
        <v>#REF!</v>
      </c>
      <c r="K60" s="152" t="e">
        <f>+#REF!*1000-100</f>
        <v>#REF!</v>
      </c>
      <c r="L60" s="184" t="s">
        <v>396</v>
      </c>
      <c r="M60" s="152"/>
      <c r="N60" s="152" t="e">
        <f>+#REF!*1000-1000</f>
        <v>#REF!</v>
      </c>
      <c r="O60" s="152"/>
      <c r="P60" s="152"/>
      <c r="Q60" s="152" t="e">
        <f>+#REF!*1000-1100</f>
        <v>#REF!</v>
      </c>
      <c r="R60" s="152"/>
      <c r="S60" s="152"/>
      <c r="T60" s="152" t="e">
        <f>+#REF!*1000-1200</f>
        <v>#REF!</v>
      </c>
    </row>
    <row r="61" spans="1:20" s="148" customFormat="1" ht="24.75" customHeight="1" hidden="1">
      <c r="A61" s="150" t="s">
        <v>272</v>
      </c>
      <c r="B61" s="149">
        <f t="shared" si="7"/>
        <v>13505</v>
      </c>
      <c r="C61" s="149"/>
      <c r="D61" s="149"/>
      <c r="E61" s="151"/>
      <c r="F61" s="161">
        <v>2045</v>
      </c>
      <c r="G61" s="161"/>
      <c r="H61" s="161">
        <v>964</v>
      </c>
      <c r="I61" s="161">
        <v>562</v>
      </c>
      <c r="J61" s="152">
        <v>2000</v>
      </c>
      <c r="K61" s="152">
        <v>2730</v>
      </c>
      <c r="L61" s="184" t="s">
        <v>396</v>
      </c>
      <c r="M61" s="152"/>
      <c r="N61" s="152">
        <v>2839</v>
      </c>
      <c r="O61" s="152"/>
      <c r="P61" s="152"/>
      <c r="Q61" s="152">
        <v>2924</v>
      </c>
      <c r="R61" s="152"/>
      <c r="S61" s="152"/>
      <c r="T61" s="152">
        <v>3012</v>
      </c>
    </row>
    <row r="62" spans="1:20" s="159" customFormat="1" ht="24.75" customHeight="1" hidden="1">
      <c r="A62" s="157" t="s">
        <v>273</v>
      </c>
      <c r="B62" s="149">
        <f t="shared" si="7"/>
        <v>0</v>
      </c>
      <c r="C62" s="149"/>
      <c r="D62" s="149"/>
      <c r="E62" s="158"/>
      <c r="F62" s="152">
        <v>3397</v>
      </c>
      <c r="G62" s="152"/>
      <c r="H62" s="152">
        <v>2562</v>
      </c>
      <c r="I62" s="152">
        <v>2639</v>
      </c>
      <c r="J62" s="152"/>
      <c r="K62" s="152"/>
      <c r="L62" s="184" t="s">
        <v>396</v>
      </c>
      <c r="M62" s="152"/>
      <c r="N62" s="152"/>
      <c r="O62" s="152"/>
      <c r="P62" s="152"/>
      <c r="Q62" s="152"/>
      <c r="R62" s="152"/>
      <c r="S62" s="152"/>
      <c r="T62" s="152"/>
    </row>
    <row r="63" spans="1:20" s="159" customFormat="1" ht="24.75" customHeight="1" hidden="1">
      <c r="A63" s="157" t="s">
        <v>274</v>
      </c>
      <c r="B63" s="149">
        <f t="shared" si="7"/>
        <v>0</v>
      </c>
      <c r="C63" s="149"/>
      <c r="D63" s="149"/>
      <c r="E63" s="158"/>
      <c r="F63" s="152">
        <v>1352</v>
      </c>
      <c r="G63" s="152"/>
      <c r="H63" s="152">
        <v>1598</v>
      </c>
      <c r="I63" s="152">
        <v>2077</v>
      </c>
      <c r="J63" s="152"/>
      <c r="K63" s="152"/>
      <c r="L63" s="184" t="s">
        <v>396</v>
      </c>
      <c r="M63" s="152"/>
      <c r="N63" s="152"/>
      <c r="O63" s="152"/>
      <c r="P63" s="152"/>
      <c r="Q63" s="152"/>
      <c r="R63" s="152"/>
      <c r="S63" s="152"/>
      <c r="T63" s="152"/>
    </row>
    <row r="64" spans="1:20" s="148" customFormat="1" ht="24.75" customHeight="1" hidden="1">
      <c r="A64" s="150" t="s">
        <v>275</v>
      </c>
      <c r="B64" s="149">
        <f t="shared" si="7"/>
        <v>7900</v>
      </c>
      <c r="C64" s="149"/>
      <c r="D64" s="149"/>
      <c r="E64" s="151"/>
      <c r="F64" s="161">
        <v>79</v>
      </c>
      <c r="G64" s="161"/>
      <c r="H64" s="161">
        <v>168</v>
      </c>
      <c r="I64" s="161">
        <v>-575</v>
      </c>
      <c r="J64" s="152">
        <v>800</v>
      </c>
      <c r="K64" s="152">
        <v>1700</v>
      </c>
      <c r="L64" s="184" t="s">
        <v>396</v>
      </c>
      <c r="M64" s="152"/>
      <c r="N64" s="152">
        <v>1900</v>
      </c>
      <c r="O64" s="152"/>
      <c r="P64" s="152"/>
      <c r="Q64" s="152">
        <v>1700</v>
      </c>
      <c r="R64" s="152"/>
      <c r="S64" s="152"/>
      <c r="T64" s="152">
        <v>1800</v>
      </c>
    </row>
    <row r="65" spans="1:20" s="159" customFormat="1" ht="24.75" customHeight="1" hidden="1">
      <c r="A65" s="157" t="s">
        <v>273</v>
      </c>
      <c r="B65" s="149">
        <f t="shared" si="7"/>
        <v>0</v>
      </c>
      <c r="C65" s="149"/>
      <c r="D65" s="149"/>
      <c r="E65" s="158"/>
      <c r="F65" s="152">
        <v>1404</v>
      </c>
      <c r="G65" s="152"/>
      <c r="H65" s="152">
        <v>3360</v>
      </c>
      <c r="I65" s="152">
        <v>3000</v>
      </c>
      <c r="J65" s="152"/>
      <c r="K65" s="152"/>
      <c r="L65" s="184" t="s">
        <v>396</v>
      </c>
      <c r="M65" s="152"/>
      <c r="N65" s="152"/>
      <c r="O65" s="152"/>
      <c r="P65" s="152"/>
      <c r="Q65" s="152"/>
      <c r="R65" s="152"/>
      <c r="S65" s="152"/>
      <c r="T65" s="152"/>
    </row>
    <row r="66" spans="1:20" s="159" customFormat="1" ht="24.75" customHeight="1" hidden="1">
      <c r="A66" s="157" t="s">
        <v>274</v>
      </c>
      <c r="B66" s="149">
        <f t="shared" si="7"/>
        <v>0</v>
      </c>
      <c r="C66" s="149"/>
      <c r="D66" s="149"/>
      <c r="E66" s="158"/>
      <c r="F66" s="152">
        <v>1325</v>
      </c>
      <c r="G66" s="152"/>
      <c r="H66" s="152">
        <v>3192</v>
      </c>
      <c r="I66" s="152">
        <v>3575</v>
      </c>
      <c r="J66" s="152"/>
      <c r="K66" s="152"/>
      <c r="L66" s="184" t="s">
        <v>396</v>
      </c>
      <c r="M66" s="152"/>
      <c r="N66" s="152"/>
      <c r="O66" s="152"/>
      <c r="P66" s="152"/>
      <c r="Q66" s="152"/>
      <c r="R66" s="152"/>
      <c r="S66" s="152"/>
      <c r="T66" s="152"/>
    </row>
    <row r="67" spans="1:20" s="148" customFormat="1" ht="24.75" customHeight="1" hidden="1">
      <c r="A67" s="150" t="s">
        <v>276</v>
      </c>
      <c r="B67" s="149">
        <f t="shared" si="7"/>
        <v>0</v>
      </c>
      <c r="C67" s="149"/>
      <c r="D67" s="149"/>
      <c r="E67" s="151"/>
      <c r="F67" s="161">
        <v>6243</v>
      </c>
      <c r="G67" s="161"/>
      <c r="H67" s="161">
        <v>1300</v>
      </c>
      <c r="I67" s="161">
        <v>2000</v>
      </c>
      <c r="J67" s="152"/>
      <c r="K67" s="152"/>
      <c r="L67" s="184" t="s">
        <v>396</v>
      </c>
      <c r="M67" s="152"/>
      <c r="N67" s="152"/>
      <c r="O67" s="152"/>
      <c r="P67" s="152"/>
      <c r="Q67" s="152"/>
      <c r="R67" s="152"/>
      <c r="S67" s="152"/>
      <c r="T67" s="152"/>
    </row>
    <row r="68" spans="1:20" s="148" customFormat="1" ht="24.75" customHeight="1" hidden="1">
      <c r="A68" s="150" t="s">
        <v>277</v>
      </c>
      <c r="B68" s="149">
        <f t="shared" si="7"/>
        <v>0</v>
      </c>
      <c r="C68" s="149"/>
      <c r="D68" s="149"/>
      <c r="E68" s="151"/>
      <c r="F68" s="161">
        <v>2623</v>
      </c>
      <c r="G68" s="161"/>
      <c r="H68" s="161">
        <v>4800</v>
      </c>
      <c r="I68" s="161">
        <v>2500</v>
      </c>
      <c r="J68" s="152"/>
      <c r="K68" s="152"/>
      <c r="L68" s="184" t="s">
        <v>396</v>
      </c>
      <c r="M68" s="152"/>
      <c r="N68" s="152"/>
      <c r="O68" s="152"/>
      <c r="P68" s="152"/>
      <c r="Q68" s="152"/>
      <c r="R68" s="152"/>
      <c r="S68" s="152"/>
      <c r="T68" s="152"/>
    </row>
    <row r="69" spans="1:20" s="148" customFormat="1" ht="24.75" customHeight="1" hidden="1">
      <c r="A69" s="150" t="s">
        <v>313</v>
      </c>
      <c r="B69" s="149">
        <f t="shared" si="7"/>
        <v>10400</v>
      </c>
      <c r="C69" s="149"/>
      <c r="D69" s="149"/>
      <c r="E69" s="151"/>
      <c r="F69" s="161"/>
      <c r="G69" s="161"/>
      <c r="H69" s="161"/>
      <c r="I69" s="161"/>
      <c r="J69" s="152">
        <v>1200</v>
      </c>
      <c r="K69" s="152">
        <v>2000</v>
      </c>
      <c r="L69" s="184" t="s">
        <v>396</v>
      </c>
      <c r="M69" s="152"/>
      <c r="N69" s="152">
        <v>2200</v>
      </c>
      <c r="O69" s="152"/>
      <c r="P69" s="152"/>
      <c r="Q69" s="152">
        <v>2500</v>
      </c>
      <c r="R69" s="152"/>
      <c r="S69" s="152"/>
      <c r="T69" s="152">
        <v>2500</v>
      </c>
    </row>
    <row r="70" spans="1:20" s="159" customFormat="1" ht="15.75" customHeight="1" hidden="1">
      <c r="A70" s="157"/>
      <c r="B70" s="149"/>
      <c r="C70" s="149"/>
      <c r="D70" s="149"/>
      <c r="E70" s="158"/>
      <c r="F70" s="152"/>
      <c r="G70" s="152"/>
      <c r="H70" s="152"/>
      <c r="I70" s="152"/>
      <c r="J70" s="152"/>
      <c r="K70" s="152"/>
      <c r="L70" s="184" t="s">
        <v>396</v>
      </c>
      <c r="M70" s="152"/>
      <c r="N70" s="152"/>
      <c r="O70" s="152"/>
      <c r="P70" s="152"/>
      <c r="Q70" s="152"/>
      <c r="R70" s="152"/>
      <c r="S70" s="152"/>
      <c r="T70" s="152"/>
    </row>
    <row r="71" spans="1:20" s="148" customFormat="1" ht="24.75" customHeight="1" hidden="1">
      <c r="A71" s="150" t="s">
        <v>278</v>
      </c>
      <c r="B71" s="149">
        <f t="shared" si="7"/>
        <v>-12500</v>
      </c>
      <c r="C71" s="149"/>
      <c r="D71" s="149"/>
      <c r="E71" s="151"/>
      <c r="F71" s="161">
        <v>-380</v>
      </c>
      <c r="G71" s="161"/>
      <c r="H71" s="161">
        <v>-300</v>
      </c>
      <c r="I71" s="161">
        <v>-300</v>
      </c>
      <c r="J71" s="152">
        <v>-2500</v>
      </c>
      <c r="K71" s="152">
        <v>-2500</v>
      </c>
      <c r="L71" s="184" t="s">
        <v>396</v>
      </c>
      <c r="M71" s="152"/>
      <c r="N71" s="152">
        <v>-2500</v>
      </c>
      <c r="O71" s="152"/>
      <c r="P71" s="152"/>
      <c r="Q71" s="152">
        <v>-2500</v>
      </c>
      <c r="R71" s="152"/>
      <c r="S71" s="152"/>
      <c r="T71" s="152">
        <v>-2500</v>
      </c>
    </row>
    <row r="72" spans="1:20" s="159" customFormat="1" ht="15" customHeight="1" hidden="1">
      <c r="A72" s="157"/>
      <c r="B72" s="149"/>
      <c r="C72" s="149"/>
      <c r="D72" s="149"/>
      <c r="E72" s="158"/>
      <c r="F72" s="152"/>
      <c r="G72" s="152"/>
      <c r="H72" s="152"/>
      <c r="I72" s="152"/>
      <c r="J72" s="152"/>
      <c r="K72" s="152"/>
      <c r="L72" s="184" t="s">
        <v>396</v>
      </c>
      <c r="M72" s="152"/>
      <c r="N72" s="152"/>
      <c r="O72" s="152"/>
      <c r="P72" s="152"/>
      <c r="Q72" s="152"/>
      <c r="R72" s="152"/>
      <c r="S72" s="152"/>
      <c r="T72" s="152"/>
    </row>
    <row r="73" spans="1:20" s="148" customFormat="1" ht="24.75" customHeight="1" hidden="1">
      <c r="A73" s="153" t="s">
        <v>279</v>
      </c>
      <c r="B73" s="152" t="e">
        <f t="shared" si="7"/>
        <v>#REF!</v>
      </c>
      <c r="C73" s="152"/>
      <c r="D73" s="152"/>
      <c r="E73" s="151"/>
      <c r="F73" s="161"/>
      <c r="G73" s="161"/>
      <c r="H73" s="161"/>
      <c r="I73" s="161"/>
      <c r="J73" s="152" t="e">
        <f>+J56+J58+J71</f>
        <v>#REF!</v>
      </c>
      <c r="K73" s="152" t="e">
        <f>+K56+K58+K71</f>
        <v>#REF!</v>
      </c>
      <c r="L73" s="184" t="s">
        <v>396</v>
      </c>
      <c r="M73" s="152"/>
      <c r="N73" s="152" t="e">
        <f>+N56+N58+N71</f>
        <v>#REF!</v>
      </c>
      <c r="O73" s="152"/>
      <c r="P73" s="152"/>
      <c r="Q73" s="152" t="e">
        <f>+Q56+Q58+Q71</f>
        <v>#REF!</v>
      </c>
      <c r="R73" s="152"/>
      <c r="S73" s="152"/>
      <c r="T73" s="152" t="e">
        <f>+T56+T58+T71</f>
        <v>#REF!</v>
      </c>
    </row>
    <row r="74" spans="1:20" ht="16.5" hidden="1">
      <c r="A74" s="162"/>
      <c r="B74" s="162"/>
      <c r="C74" s="162"/>
      <c r="D74" s="162"/>
      <c r="E74" s="162"/>
      <c r="F74" s="162"/>
      <c r="G74" s="162"/>
      <c r="H74" s="162"/>
      <c r="I74" s="162"/>
      <c r="J74" s="162"/>
      <c r="K74" s="162"/>
      <c r="L74" s="184" t="s">
        <v>396</v>
      </c>
      <c r="M74" s="162"/>
      <c r="N74" s="162"/>
      <c r="O74" s="162"/>
      <c r="P74" s="162"/>
      <c r="Q74" s="162"/>
      <c r="R74" s="162"/>
      <c r="S74" s="162"/>
      <c r="T74" s="162"/>
    </row>
    <row r="100" ht="16.5"/>
    <row r="101" ht="16.5"/>
    <row r="102" ht="16.5"/>
    <row r="103" ht="16.5"/>
    <row r="104" ht="16.5"/>
    <row r="105" ht="16.5"/>
    <row r="106" ht="16.5"/>
    <row r="107" ht="16.5"/>
    <row r="108" ht="16.5"/>
    <row r="109" ht="16.5"/>
    <row r="110" ht="16.5"/>
    <row r="111" ht="16.5"/>
    <row r="112" ht="16.5"/>
    <row r="113" ht="16.5"/>
    <row r="114" ht="16.5"/>
    <row r="115" ht="16.5"/>
    <row r="116" ht="16.5"/>
    <row r="117" ht="16.5"/>
    <row r="118" ht="16.5"/>
    <row r="119" ht="16.5"/>
    <row r="120" ht="16.5"/>
    <row r="121" ht="16.5"/>
    <row r="122" ht="16.5"/>
    <row r="123" ht="16.5"/>
    <row r="124" ht="16.5"/>
    <row r="125" ht="16.5"/>
    <row r="126" ht="16.5"/>
    <row r="127" ht="16.5"/>
    <row r="128" ht="16.5"/>
    <row r="129" ht="16.5"/>
  </sheetData>
  <sheetProtection/>
  <mergeCells count="44">
    <mergeCell ref="Q5:S5"/>
    <mergeCell ref="H3:I3"/>
    <mergeCell ref="H1:I1"/>
    <mergeCell ref="H4:T4"/>
    <mergeCell ref="A2:T2"/>
    <mergeCell ref="T5:V5"/>
    <mergeCell ref="B5:D5"/>
    <mergeCell ref="K5:M5"/>
    <mergeCell ref="N5:P5"/>
    <mergeCell ref="K37:M37"/>
    <mergeCell ref="N37:P37"/>
    <mergeCell ref="K18:M18"/>
    <mergeCell ref="B30:D30"/>
    <mergeCell ref="B35:D35"/>
    <mergeCell ref="B27:D27"/>
    <mergeCell ref="T37:V37"/>
    <mergeCell ref="B12:D12"/>
    <mergeCell ref="B15:D15"/>
    <mergeCell ref="B18:D18"/>
    <mergeCell ref="K12:M12"/>
    <mergeCell ref="K15:M15"/>
    <mergeCell ref="N15:P15"/>
    <mergeCell ref="Q37:S37"/>
    <mergeCell ref="N18:P18"/>
    <mergeCell ref="Q18:S18"/>
    <mergeCell ref="B37:D37"/>
    <mergeCell ref="T12:V12"/>
    <mergeCell ref="T15:V15"/>
    <mergeCell ref="T18:V18"/>
    <mergeCell ref="K27:M27"/>
    <mergeCell ref="N27:P27"/>
    <mergeCell ref="Q27:S27"/>
    <mergeCell ref="T27:V27"/>
    <mergeCell ref="Q12:S12"/>
    <mergeCell ref="Q15:S15"/>
    <mergeCell ref="N12:P12"/>
    <mergeCell ref="K30:M30"/>
    <mergeCell ref="K35:M35"/>
    <mergeCell ref="T30:V30"/>
    <mergeCell ref="T35:V35"/>
    <mergeCell ref="N30:P30"/>
    <mergeCell ref="N35:P35"/>
    <mergeCell ref="Q30:S30"/>
    <mergeCell ref="Q35:S35"/>
  </mergeCells>
  <printOptions horizontalCentered="1"/>
  <pageMargins left="0.35433070866141736" right="0.35433070866141736" top="1.2" bottom="1.05" header="0.5118110236220472" footer="0.67"/>
  <pageSetup horizontalDpi="600" verticalDpi="600" orientation="landscape" paperSize="9" scale="88" r:id="rId3"/>
  <headerFooter alignWithMargins="0">
    <oddHeader>&amp;R&amp;P</oddHead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4:G32"/>
  <sheetViews>
    <sheetView zoomScalePageLayoutView="0" workbookViewId="0" topLeftCell="A1">
      <selection activeCell="F13" sqref="F13"/>
    </sheetView>
  </sheetViews>
  <sheetFormatPr defaultColWidth="9.140625" defaultRowHeight="12.75"/>
  <cols>
    <col min="1" max="1" width="12.8515625" style="0" bestFit="1" customWidth="1"/>
  </cols>
  <sheetData>
    <row r="4" spans="2:6" ht="12.75">
      <c r="B4" s="137">
        <v>2011</v>
      </c>
      <c r="C4" s="137">
        <v>2012</v>
      </c>
      <c r="D4" s="137">
        <v>2013</v>
      </c>
      <c r="E4" s="137">
        <v>2014</v>
      </c>
      <c r="F4" s="137">
        <v>2015</v>
      </c>
    </row>
    <row r="5" spans="1:6" ht="16.5">
      <c r="A5" t="s">
        <v>314</v>
      </c>
      <c r="B5" s="5">
        <v>2233.513</v>
      </c>
      <c r="C5" s="5">
        <v>2610.689</v>
      </c>
      <c r="D5" s="5">
        <v>3059.123</v>
      </c>
      <c r="E5" s="5">
        <v>3593.513</v>
      </c>
      <c r="F5" s="5">
        <v>4232.313</v>
      </c>
    </row>
    <row r="6" spans="1:6" ht="15">
      <c r="A6" t="s">
        <v>315</v>
      </c>
      <c r="B6" s="6">
        <v>2254.345</v>
      </c>
      <c r="C6" s="6">
        <v>2648.484</v>
      </c>
      <c r="D6" s="6">
        <v>3119.879</v>
      </c>
      <c r="E6" s="6">
        <v>3682.591</v>
      </c>
      <c r="F6" s="6">
        <v>4355.599</v>
      </c>
    </row>
    <row r="8" spans="1:7" s="138" customFormat="1" ht="12.75">
      <c r="A8" s="138" t="s">
        <v>311</v>
      </c>
      <c r="B8" s="139">
        <v>455.19</v>
      </c>
      <c r="C8" s="139">
        <v>518.222</v>
      </c>
      <c r="D8" s="139">
        <v>590.105</v>
      </c>
      <c r="E8" s="139">
        <v>671.628</v>
      </c>
      <c r="F8" s="139">
        <v>763.932</v>
      </c>
      <c r="G8" s="139"/>
    </row>
    <row r="9" spans="1:7" ht="12.75">
      <c r="A9" t="s">
        <v>316</v>
      </c>
      <c r="B9" s="140">
        <v>459.436</v>
      </c>
      <c r="C9" s="140">
        <v>525.796</v>
      </c>
      <c r="D9" s="140">
        <v>601.825</v>
      </c>
      <c r="E9" s="140">
        <v>688.276</v>
      </c>
      <c r="F9" s="140">
        <v>786.186</v>
      </c>
      <c r="G9" s="140"/>
    </row>
    <row r="10" spans="1:7" s="138" customFormat="1" ht="12.75">
      <c r="A10" s="138" t="s">
        <v>312</v>
      </c>
      <c r="B10" s="139">
        <v>903.68</v>
      </c>
      <c r="C10" s="139">
        <v>1059.679</v>
      </c>
      <c r="D10" s="139">
        <v>1245.981</v>
      </c>
      <c r="E10" s="139">
        <v>1468.669</v>
      </c>
      <c r="F10" s="139">
        <v>1736.095</v>
      </c>
      <c r="G10" s="139"/>
    </row>
    <row r="11" spans="1:7" ht="12.75">
      <c r="A11" t="s">
        <v>317</v>
      </c>
      <c r="B11" s="140">
        <v>912.108</v>
      </c>
      <c r="C11" s="140">
        <v>1075.167</v>
      </c>
      <c r="D11" s="140">
        <v>1270.727</v>
      </c>
      <c r="E11" s="140">
        <v>1505.075</v>
      </c>
      <c r="F11" s="140">
        <v>1786.667</v>
      </c>
      <c r="G11" s="140"/>
    </row>
    <row r="12" spans="1:7" s="138" customFormat="1" ht="12.75">
      <c r="A12" s="138" t="s">
        <v>318</v>
      </c>
      <c r="B12" s="139">
        <v>874.644</v>
      </c>
      <c r="C12" s="139">
        <v>1032.789</v>
      </c>
      <c r="D12" s="139">
        <v>1223.037</v>
      </c>
      <c r="E12" s="139">
        <v>1453.217</v>
      </c>
      <c r="F12" s="139">
        <v>1732</v>
      </c>
      <c r="G12" s="139"/>
    </row>
    <row r="13" spans="1:7" ht="12.75">
      <c r="A13" t="s">
        <v>319</v>
      </c>
      <c r="B13" s="140">
        <v>882.802</v>
      </c>
      <c r="C13" s="140">
        <v>1047.884</v>
      </c>
      <c r="D13" s="140">
        <v>1247.328</v>
      </c>
      <c r="E13" s="140">
        <v>1489.24</v>
      </c>
      <c r="F13" s="140" t="e">
        <f>F6*#REF!/100</f>
        <v>#REF!</v>
      </c>
      <c r="G13" s="140"/>
    </row>
    <row r="14" spans="2:7" ht="12.75">
      <c r="B14" s="140"/>
      <c r="C14" s="140"/>
      <c r="D14" s="140"/>
      <c r="E14" s="140"/>
      <c r="F14" s="140"/>
      <c r="G14" s="140"/>
    </row>
    <row r="15" spans="2:7" ht="12.75">
      <c r="B15" s="140"/>
      <c r="C15" s="140"/>
      <c r="D15" s="140"/>
      <c r="E15" s="140"/>
      <c r="F15" s="140"/>
      <c r="G15" s="140"/>
    </row>
    <row r="16" spans="1:7" ht="12.75">
      <c r="A16" t="s">
        <v>320</v>
      </c>
      <c r="B16" s="140" t="s">
        <v>323</v>
      </c>
      <c r="C16" s="140"/>
      <c r="D16" s="140"/>
      <c r="E16" s="140"/>
      <c r="F16" s="140" t="s">
        <v>321</v>
      </c>
      <c r="G16" s="140" t="s">
        <v>322</v>
      </c>
    </row>
    <row r="17" spans="1:7" ht="12.75">
      <c r="A17" s="138" t="s">
        <v>308</v>
      </c>
      <c r="B17" s="140" t="e">
        <f>#REF!*#REF!/100</f>
        <v>#REF!</v>
      </c>
      <c r="C17" s="140" t="e">
        <f>#REF!*#REF!/100</f>
        <v>#REF!</v>
      </c>
      <c r="D17" s="140" t="e">
        <f>#REF!*#REF!/100</f>
        <v>#REF!</v>
      </c>
      <c r="E17" s="140" t="e">
        <f>#REF!*#REF!/100</f>
        <v>#REF!</v>
      </c>
      <c r="F17" s="140" t="e">
        <f>#REF!*40/100</f>
        <v>#REF!</v>
      </c>
      <c r="G17" s="140" t="e">
        <f>#REF!*41/100</f>
        <v>#REF!</v>
      </c>
    </row>
    <row r="18" spans="1:7" ht="12.75">
      <c r="A18" t="s">
        <v>309</v>
      </c>
      <c r="B18" s="140" t="e">
        <f>#REF!*#REF!/100</f>
        <v>#REF!</v>
      </c>
      <c r="C18" s="140" t="e">
        <f>#REF!*#REF!/100</f>
        <v>#REF!</v>
      </c>
      <c r="D18" s="140" t="e">
        <f>#REF!*#REF!/100</f>
        <v>#REF!</v>
      </c>
      <c r="E18" s="140" t="e">
        <f>#REF!*#REF!/100</f>
        <v>#REF!</v>
      </c>
      <c r="F18" s="140" t="e">
        <f>#REF!*28/100</f>
        <v>#REF!</v>
      </c>
      <c r="G18" s="140" t="e">
        <f>#REF!*29/100</f>
        <v>#REF!</v>
      </c>
    </row>
    <row r="19" spans="1:7" ht="12.75">
      <c r="A19" s="138" t="s">
        <v>310</v>
      </c>
      <c r="B19" s="140" t="e">
        <f>#REF!*#REF!/100</f>
        <v>#REF!</v>
      </c>
      <c r="C19" s="140" t="e">
        <f>#REF!*#REF!/100</f>
        <v>#REF!</v>
      </c>
      <c r="D19" s="140" t="e">
        <f>#REF!*#REF!/100</f>
        <v>#REF!</v>
      </c>
      <c r="E19" s="140" t="e">
        <f>#REF!*#REF!/100</f>
        <v>#REF!</v>
      </c>
      <c r="F19" s="140" t="e">
        <f>#REF!*30/100</f>
        <v>#REF!</v>
      </c>
      <c r="G19" s="140" t="e">
        <f>#REF!*31/100</f>
        <v>#REF!</v>
      </c>
    </row>
    <row r="21" spans="1:7" ht="12.75">
      <c r="A21" s="138"/>
      <c r="B21" s="140" t="e">
        <f aca="true" t="shared" si="0" ref="B21:G21">SUM(B17:B19)</f>
        <v>#REF!</v>
      </c>
      <c r="C21" s="140" t="e">
        <f t="shared" si="0"/>
        <v>#REF!</v>
      </c>
      <c r="D21" s="140" t="e">
        <f t="shared" si="0"/>
        <v>#REF!</v>
      </c>
      <c r="E21" s="140" t="e">
        <f t="shared" si="0"/>
        <v>#REF!</v>
      </c>
      <c r="F21" s="140" t="e">
        <f t="shared" si="0"/>
        <v>#REF!</v>
      </c>
      <c r="G21" s="140" t="e">
        <f t="shared" si="0"/>
        <v>#REF!</v>
      </c>
    </row>
    <row r="23" ht="12.75">
      <c r="A23" t="s">
        <v>324</v>
      </c>
    </row>
    <row r="24" spans="1:6" ht="12.75">
      <c r="A24" t="s">
        <v>325</v>
      </c>
      <c r="B24" t="e">
        <f>B5/B21</f>
        <v>#REF!</v>
      </c>
      <c r="C24" t="e">
        <f>C5/C21</f>
        <v>#REF!</v>
      </c>
      <c r="D24" t="e">
        <f>D5/D21</f>
        <v>#REF!</v>
      </c>
      <c r="E24" t="e">
        <f>E5/E21</f>
        <v>#REF!</v>
      </c>
      <c r="F24" t="e">
        <f>F5/F21</f>
        <v>#REF!</v>
      </c>
    </row>
    <row r="25" spans="1:6" ht="12.75">
      <c r="A25" t="s">
        <v>325</v>
      </c>
      <c r="B25" t="e">
        <f>B6/B21</f>
        <v>#REF!</v>
      </c>
      <c r="C25" t="e">
        <f>C6/C21</f>
        <v>#REF!</v>
      </c>
      <c r="D25" t="e">
        <f>D6/D21</f>
        <v>#REF!</v>
      </c>
      <c r="E25" t="e">
        <f>E6/E21</f>
        <v>#REF!</v>
      </c>
      <c r="F25" t="e">
        <f>F6/F21</f>
        <v>#REF!</v>
      </c>
    </row>
    <row r="27" spans="1:7" ht="12.75">
      <c r="A27" s="138" t="s">
        <v>311</v>
      </c>
      <c r="B27" s="140" t="e">
        <f>B8/B17</f>
        <v>#REF!</v>
      </c>
      <c r="C27" s="140" t="e">
        <f>C8/C17</f>
        <v>#REF!</v>
      </c>
      <c r="D27" s="140" t="e">
        <f>D8/D17</f>
        <v>#REF!</v>
      </c>
      <c r="E27" s="140" t="e">
        <f>E8/E17</f>
        <v>#REF!</v>
      </c>
      <c r="F27" s="140" t="e">
        <f>$F$8/F17</f>
        <v>#REF!</v>
      </c>
      <c r="G27" s="140" t="e">
        <f>$F$8/G17</f>
        <v>#REF!</v>
      </c>
    </row>
    <row r="28" spans="1:7" ht="12.75">
      <c r="A28" t="s">
        <v>316</v>
      </c>
      <c r="B28" s="140" t="e">
        <f aca="true" t="shared" si="1" ref="B28:E29">B9/B17</f>
        <v>#REF!</v>
      </c>
      <c r="C28" s="140" t="e">
        <f t="shared" si="1"/>
        <v>#REF!</v>
      </c>
      <c r="D28" s="140" t="e">
        <f t="shared" si="1"/>
        <v>#REF!</v>
      </c>
      <c r="E28" s="140" t="e">
        <f t="shared" si="1"/>
        <v>#REF!</v>
      </c>
      <c r="F28" s="140" t="e">
        <f>$F$9/F17</f>
        <v>#REF!</v>
      </c>
      <c r="G28" s="140" t="e">
        <f>$F$9/G17</f>
        <v>#REF!</v>
      </c>
    </row>
    <row r="29" spans="1:7" ht="12.75">
      <c r="A29" s="138" t="s">
        <v>312</v>
      </c>
      <c r="B29" s="140" t="e">
        <f t="shared" si="1"/>
        <v>#REF!</v>
      </c>
      <c r="C29" s="140" t="e">
        <f t="shared" si="1"/>
        <v>#REF!</v>
      </c>
      <c r="D29" s="140" t="e">
        <f t="shared" si="1"/>
        <v>#REF!</v>
      </c>
      <c r="E29" s="140" t="e">
        <f t="shared" si="1"/>
        <v>#REF!</v>
      </c>
      <c r="F29" s="140" t="e">
        <f>$F$10/F18</f>
        <v>#REF!</v>
      </c>
      <c r="G29" s="140" t="e">
        <f>$F$10/G18</f>
        <v>#REF!</v>
      </c>
    </row>
    <row r="30" spans="1:7" ht="12.75">
      <c r="A30" t="s">
        <v>317</v>
      </c>
      <c r="B30" s="140" t="e">
        <f aca="true" t="shared" si="2" ref="B30:E31">B11/B18</f>
        <v>#REF!</v>
      </c>
      <c r="C30" s="140" t="e">
        <f t="shared" si="2"/>
        <v>#REF!</v>
      </c>
      <c r="D30" s="140" t="e">
        <f t="shared" si="2"/>
        <v>#REF!</v>
      </c>
      <c r="E30" s="140" t="e">
        <f t="shared" si="2"/>
        <v>#REF!</v>
      </c>
      <c r="F30" s="140" t="e">
        <f>$F$11/F18</f>
        <v>#REF!</v>
      </c>
      <c r="G30" s="140" t="e">
        <f>$F$11/G18</f>
        <v>#REF!</v>
      </c>
    </row>
    <row r="31" spans="1:7" ht="12.75">
      <c r="A31" s="138" t="s">
        <v>318</v>
      </c>
      <c r="B31" s="140" t="e">
        <f t="shared" si="2"/>
        <v>#REF!</v>
      </c>
      <c r="C31" s="140" t="e">
        <f t="shared" si="2"/>
        <v>#REF!</v>
      </c>
      <c r="D31" s="140" t="e">
        <f t="shared" si="2"/>
        <v>#REF!</v>
      </c>
      <c r="E31" s="140" t="e">
        <f t="shared" si="2"/>
        <v>#REF!</v>
      </c>
      <c r="F31" s="140" t="e">
        <f>$F$12/F19</f>
        <v>#REF!</v>
      </c>
      <c r="G31" s="140" t="e">
        <f>$F$12/G19</f>
        <v>#REF!</v>
      </c>
    </row>
    <row r="32" spans="1:7" ht="12.75">
      <c r="A32" t="s">
        <v>319</v>
      </c>
      <c r="B32" s="140" t="e">
        <f>B13/B19</f>
        <v>#REF!</v>
      </c>
      <c r="C32" s="140" t="e">
        <f>C13/C19</f>
        <v>#REF!</v>
      </c>
      <c r="D32" s="140" t="e">
        <f>D13/D19</f>
        <v>#REF!</v>
      </c>
      <c r="E32" s="140" t="e">
        <f>E13/E19</f>
        <v>#REF!</v>
      </c>
      <c r="F32" s="140" t="e">
        <f>$F$13/F19</f>
        <v>#REF!</v>
      </c>
      <c r="G32" s="140" t="e">
        <f>$F$13/G19</f>
        <v>#REF!</v>
      </c>
    </row>
  </sheetData>
  <sheetProtection/>
  <printOptions/>
  <pageMargins left="0.7480314960629921" right="0.7480314960629921" top="0.984251968503937" bottom="0.984251968503937" header="0.5118110236220472" footer="0.5118110236220472"/>
  <pageSetup firstPageNumber="138" useFirstPageNumber="1" horizontalDpi="600" verticalDpi="600" orientation="landscape" paperSize="9" r:id="rId1"/>
  <headerFooter alignWithMargins="0">
    <oddHeader>&amp;R&amp;P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L35"/>
  <sheetViews>
    <sheetView zoomScalePageLayoutView="0" workbookViewId="0" topLeftCell="A1">
      <selection activeCell="G16" sqref="G16"/>
    </sheetView>
  </sheetViews>
  <sheetFormatPr defaultColWidth="9.140625" defaultRowHeight="12.75"/>
  <cols>
    <col min="1" max="1" width="5.140625" style="4" customWidth="1"/>
    <col min="2" max="2" width="36.57421875" style="2" customWidth="1"/>
    <col min="3" max="3" width="15.8515625" style="3" customWidth="1"/>
    <col min="4" max="4" width="12.8515625" style="1" customWidth="1"/>
    <col min="5" max="5" width="10.140625" style="1" hidden="1" customWidth="1"/>
    <col min="6" max="10" width="10.140625" style="1" customWidth="1"/>
    <col min="11" max="11" width="12.421875" style="1" customWidth="1"/>
    <col min="12" max="16384" width="9.140625" style="1" customWidth="1"/>
  </cols>
  <sheetData>
    <row r="1" ht="30" customHeight="1">
      <c r="K1" s="7" t="s">
        <v>218</v>
      </c>
    </row>
    <row r="2" spans="1:11" ht="18" customHeight="1">
      <c r="A2" s="853" t="s">
        <v>245</v>
      </c>
      <c r="B2" s="853"/>
      <c r="C2" s="853"/>
      <c r="D2" s="853"/>
      <c r="E2" s="853"/>
      <c r="F2" s="853"/>
      <c r="G2" s="853"/>
      <c r="H2" s="853"/>
      <c r="I2" s="853"/>
      <c r="J2" s="853"/>
      <c r="K2" s="853"/>
    </row>
    <row r="3" ht="15" customHeight="1"/>
    <row r="4" spans="1:11" s="125" customFormat="1" ht="22.5" customHeight="1">
      <c r="A4" s="849" t="s">
        <v>115</v>
      </c>
      <c r="B4" s="849" t="s">
        <v>116</v>
      </c>
      <c r="C4" s="849" t="s">
        <v>117</v>
      </c>
      <c r="D4" s="849" t="s">
        <v>244</v>
      </c>
      <c r="E4" s="849" t="s">
        <v>206</v>
      </c>
      <c r="F4" s="849">
        <v>2011</v>
      </c>
      <c r="G4" s="849">
        <v>2012</v>
      </c>
      <c r="H4" s="851">
        <v>2013</v>
      </c>
      <c r="I4" s="849">
        <v>2014</v>
      </c>
      <c r="J4" s="849">
        <v>2015</v>
      </c>
      <c r="K4" s="849" t="s">
        <v>207</v>
      </c>
    </row>
    <row r="5" spans="1:11" s="125" customFormat="1" ht="21" customHeight="1">
      <c r="A5" s="850"/>
      <c r="B5" s="850"/>
      <c r="C5" s="850"/>
      <c r="D5" s="850"/>
      <c r="E5" s="850"/>
      <c r="F5" s="850"/>
      <c r="G5" s="850"/>
      <c r="H5" s="852"/>
      <c r="I5" s="850"/>
      <c r="J5" s="850"/>
      <c r="K5" s="850"/>
    </row>
    <row r="6" spans="1:11" ht="19.5" customHeight="1">
      <c r="A6" s="29"/>
      <c r="B6" s="32"/>
      <c r="C6" s="126"/>
      <c r="D6" s="18"/>
      <c r="E6" s="18"/>
      <c r="F6" s="18"/>
      <c r="G6" s="18"/>
      <c r="H6" s="18"/>
      <c r="I6" s="122"/>
      <c r="J6" s="122"/>
      <c r="K6" s="20"/>
    </row>
    <row r="7" spans="1:11" s="21" customFormat="1" ht="33.75" customHeight="1">
      <c r="A7" s="15" t="s">
        <v>214</v>
      </c>
      <c r="B7" s="16" t="s">
        <v>232</v>
      </c>
      <c r="C7" s="30" t="s">
        <v>129</v>
      </c>
      <c r="E7" s="69">
        <f>E10+E13</f>
        <v>714.052</v>
      </c>
      <c r="F7" s="69"/>
      <c r="G7" s="69"/>
      <c r="H7" s="102"/>
      <c r="I7" s="102"/>
      <c r="J7" s="102"/>
      <c r="K7" s="8"/>
    </row>
    <row r="8" spans="1:12" s="92" customFormat="1" ht="33.75" customHeight="1">
      <c r="A8" s="87"/>
      <c r="B8" s="83" t="s">
        <v>130</v>
      </c>
      <c r="C8" s="30" t="s">
        <v>120</v>
      </c>
      <c r="D8" s="84"/>
      <c r="E8" s="91"/>
      <c r="F8" s="93"/>
      <c r="G8" s="93"/>
      <c r="H8" s="106"/>
      <c r="I8" s="106"/>
      <c r="J8" s="106"/>
      <c r="K8" s="87"/>
      <c r="L8" s="121"/>
    </row>
    <row r="9" spans="1:11" s="92" customFormat="1" ht="33.75" customHeight="1">
      <c r="A9" s="87"/>
      <c r="B9" s="83" t="s">
        <v>230</v>
      </c>
      <c r="C9" s="30" t="s">
        <v>120</v>
      </c>
      <c r="D9" s="84"/>
      <c r="E9" s="91">
        <f>E7/E31*100</f>
        <v>85.08722592945662</v>
      </c>
      <c r="F9" s="91"/>
      <c r="G9" s="91"/>
      <c r="H9" s="104"/>
      <c r="I9" s="104"/>
      <c r="J9" s="104"/>
      <c r="K9" s="87"/>
    </row>
    <row r="10" spans="1:11" s="9" customFormat="1" ht="33.75" customHeight="1">
      <c r="A10" s="15" t="s">
        <v>215</v>
      </c>
      <c r="B10" s="16" t="s">
        <v>231</v>
      </c>
      <c r="C10" s="30" t="s">
        <v>129</v>
      </c>
      <c r="E10" s="69">
        <v>152.571</v>
      </c>
      <c r="F10" s="69"/>
      <c r="G10" s="69"/>
      <c r="H10" s="114"/>
      <c r="I10" s="114"/>
      <c r="J10" s="114"/>
      <c r="K10" s="15"/>
    </row>
    <row r="11" spans="1:11" s="88" customFormat="1" ht="33.75" customHeight="1">
      <c r="A11" s="82"/>
      <c r="B11" s="90" t="s">
        <v>236</v>
      </c>
      <c r="C11" s="30" t="s">
        <v>120</v>
      </c>
      <c r="D11" s="84"/>
      <c r="E11" s="85"/>
      <c r="F11" s="86"/>
      <c r="G11" s="86"/>
      <c r="H11" s="103"/>
      <c r="I11" s="103"/>
      <c r="J11" s="103"/>
      <c r="K11" s="87"/>
    </row>
    <row r="12" spans="1:11" s="88" customFormat="1" ht="33.75" customHeight="1">
      <c r="A12" s="82"/>
      <c r="B12" s="90" t="s">
        <v>222</v>
      </c>
      <c r="C12" s="30" t="s">
        <v>120</v>
      </c>
      <c r="D12" s="84"/>
      <c r="E12" s="93">
        <f>E10/E7*100</f>
        <v>21.36693125990824</v>
      </c>
      <c r="F12" s="93"/>
      <c r="G12" s="93"/>
      <c r="H12" s="103"/>
      <c r="I12" s="103"/>
      <c r="J12" s="103"/>
      <c r="K12" s="87"/>
    </row>
    <row r="13" spans="1:11" s="21" customFormat="1" ht="33.75" customHeight="1">
      <c r="A13" s="15" t="s">
        <v>228</v>
      </c>
      <c r="B13" s="16" t="s">
        <v>219</v>
      </c>
      <c r="C13" s="30" t="s">
        <v>129</v>
      </c>
      <c r="E13" s="69">
        <f>E17+E19</f>
        <v>561.481</v>
      </c>
      <c r="F13" s="69"/>
      <c r="G13" s="69"/>
      <c r="H13" s="105"/>
      <c r="I13" s="105"/>
      <c r="J13" s="105"/>
      <c r="K13" s="8"/>
    </row>
    <row r="14" spans="1:11" s="92" customFormat="1" ht="28.5" customHeight="1">
      <c r="A14" s="87"/>
      <c r="B14" s="90" t="s">
        <v>236</v>
      </c>
      <c r="C14" s="30" t="s">
        <v>120</v>
      </c>
      <c r="D14" s="84"/>
      <c r="E14" s="91"/>
      <c r="F14" s="86"/>
      <c r="G14" s="86"/>
      <c r="H14" s="106"/>
      <c r="I14" s="106"/>
      <c r="J14" s="106"/>
      <c r="K14" s="87"/>
    </row>
    <row r="15" spans="1:11" s="92" customFormat="1" ht="27.75" customHeight="1">
      <c r="A15" s="87"/>
      <c r="B15" s="90" t="s">
        <v>227</v>
      </c>
      <c r="C15" s="30" t="s">
        <v>120</v>
      </c>
      <c r="D15" s="84"/>
      <c r="E15" s="91">
        <f>E10/E31*100</f>
        <v>18.180529075309817</v>
      </c>
      <c r="F15" s="91"/>
      <c r="G15" s="91"/>
      <c r="H15" s="104"/>
      <c r="I15" s="104"/>
      <c r="J15" s="104"/>
      <c r="K15" s="87"/>
    </row>
    <row r="16" spans="1:11" s="21" customFormat="1" ht="25.5" customHeight="1">
      <c r="A16" s="8"/>
      <c r="B16" s="12" t="s">
        <v>121</v>
      </c>
      <c r="C16" s="30"/>
      <c r="D16" s="19"/>
      <c r="E16" s="69"/>
      <c r="F16" s="69"/>
      <c r="G16" s="69"/>
      <c r="H16" s="101"/>
      <c r="I16" s="101"/>
      <c r="J16" s="101"/>
      <c r="K16" s="8"/>
    </row>
    <row r="17" spans="1:11" s="33" customFormat="1" ht="26.25" customHeight="1">
      <c r="A17" s="55"/>
      <c r="B17" s="94" t="s">
        <v>220</v>
      </c>
      <c r="C17" s="30" t="s">
        <v>129</v>
      </c>
      <c r="D17" s="72"/>
      <c r="E17" s="69">
        <v>402.301</v>
      </c>
      <c r="F17" s="69"/>
      <c r="G17" s="69"/>
      <c r="H17" s="107"/>
      <c r="I17" s="107"/>
      <c r="J17" s="107"/>
      <c r="K17" s="55"/>
    </row>
    <row r="18" spans="1:11" s="33" customFormat="1" ht="26.25" customHeight="1">
      <c r="A18" s="55"/>
      <c r="B18" s="95" t="s">
        <v>130</v>
      </c>
      <c r="C18" s="115" t="s">
        <v>120</v>
      </c>
      <c r="D18" s="28"/>
      <c r="E18" s="69"/>
      <c r="F18" s="31"/>
      <c r="G18" s="31"/>
      <c r="H18" s="108"/>
      <c r="I18" s="108"/>
      <c r="J18" s="108"/>
      <c r="K18" s="11"/>
    </row>
    <row r="19" spans="1:11" s="33" customFormat="1" ht="25.5" customHeight="1">
      <c r="A19" s="55"/>
      <c r="B19" s="94" t="s">
        <v>221</v>
      </c>
      <c r="C19" s="30" t="s">
        <v>129</v>
      </c>
      <c r="D19" s="72"/>
      <c r="E19" s="69">
        <v>159.18</v>
      </c>
      <c r="F19" s="69"/>
      <c r="G19" s="69"/>
      <c r="H19" s="107"/>
      <c r="I19" s="107"/>
      <c r="J19" s="107"/>
      <c r="K19" s="55"/>
    </row>
    <row r="20" spans="1:11" s="33" customFormat="1" ht="24.75" customHeight="1">
      <c r="A20" s="55"/>
      <c r="B20" s="95" t="s">
        <v>130</v>
      </c>
      <c r="C20" s="115" t="s">
        <v>120</v>
      </c>
      <c r="D20" s="28"/>
      <c r="E20" s="69"/>
      <c r="F20" s="31"/>
      <c r="G20" s="31"/>
      <c r="H20" s="108"/>
      <c r="I20" s="108"/>
      <c r="J20" s="108"/>
      <c r="K20" s="11"/>
    </row>
    <row r="21" spans="1:11" s="33" customFormat="1" ht="19.5" customHeight="1">
      <c r="A21" s="55"/>
      <c r="B21" s="95"/>
      <c r="C21" s="115"/>
      <c r="D21" s="28"/>
      <c r="E21" s="69"/>
      <c r="F21" s="31"/>
      <c r="G21" s="31"/>
      <c r="H21" s="109"/>
      <c r="I21" s="109"/>
      <c r="J21" s="109"/>
      <c r="K21" s="11"/>
    </row>
    <row r="22" spans="1:11" s="21" customFormat="1" ht="33.75" customHeight="1">
      <c r="A22" s="15" t="s">
        <v>229</v>
      </c>
      <c r="B22" s="16" t="s">
        <v>223</v>
      </c>
      <c r="C22" s="30" t="s">
        <v>129</v>
      </c>
      <c r="D22" s="28"/>
      <c r="E22" s="69">
        <f>E25+E28</f>
        <v>556.0989999999999</v>
      </c>
      <c r="F22" s="69"/>
      <c r="G22" s="69"/>
      <c r="H22" s="105"/>
      <c r="I22" s="105"/>
      <c r="J22" s="105"/>
      <c r="K22" s="8"/>
    </row>
    <row r="23" spans="1:11" s="21" customFormat="1" ht="33.75" customHeight="1">
      <c r="A23" s="8"/>
      <c r="B23" s="83" t="s">
        <v>130</v>
      </c>
      <c r="C23" s="30" t="s">
        <v>120</v>
      </c>
      <c r="D23" s="27"/>
      <c r="E23" s="71"/>
      <c r="F23" s="17"/>
      <c r="G23" s="17"/>
      <c r="H23" s="110"/>
      <c r="I23" s="110"/>
      <c r="J23" s="110"/>
      <c r="K23" s="8"/>
    </row>
    <row r="24" spans="1:11" s="21" customFormat="1" ht="33.75" customHeight="1">
      <c r="A24" s="8"/>
      <c r="B24" s="12" t="s">
        <v>121</v>
      </c>
      <c r="C24" s="30"/>
      <c r="D24" s="19"/>
      <c r="E24" s="96"/>
      <c r="F24" s="96"/>
      <c r="G24" s="96"/>
      <c r="H24" s="101"/>
      <c r="I24" s="101"/>
      <c r="J24" s="101"/>
      <c r="K24" s="8"/>
    </row>
    <row r="25" spans="1:11" s="21" customFormat="1" ht="33.75" customHeight="1">
      <c r="A25" s="8"/>
      <c r="B25" s="26" t="s">
        <v>224</v>
      </c>
      <c r="C25" s="30" t="s">
        <v>129</v>
      </c>
      <c r="D25" s="19"/>
      <c r="E25" s="22">
        <v>421.654</v>
      </c>
      <c r="F25" s="22"/>
      <c r="G25" s="22"/>
      <c r="H25" s="101"/>
      <c r="I25" s="101"/>
      <c r="J25" s="101"/>
      <c r="K25" s="8"/>
    </row>
    <row r="26" spans="1:11" s="21" customFormat="1" ht="33.75" customHeight="1">
      <c r="A26" s="8"/>
      <c r="B26" s="89" t="s">
        <v>233</v>
      </c>
      <c r="C26" s="30" t="s">
        <v>120</v>
      </c>
      <c r="D26" s="19"/>
      <c r="E26" s="22"/>
      <c r="F26" s="31"/>
      <c r="G26" s="31"/>
      <c r="H26" s="108"/>
      <c r="I26" s="108"/>
      <c r="J26" s="108"/>
      <c r="K26" s="8"/>
    </row>
    <row r="27" spans="1:11" s="25" customFormat="1" ht="33.75" customHeight="1">
      <c r="A27" s="23"/>
      <c r="B27" s="74" t="s">
        <v>234</v>
      </c>
      <c r="C27" s="30" t="s">
        <v>120</v>
      </c>
      <c r="D27" s="24"/>
      <c r="E27" s="17">
        <f>+E25/E22*100</f>
        <v>75.82354940397305</v>
      </c>
      <c r="F27" s="17"/>
      <c r="G27" s="17"/>
      <c r="H27" s="110"/>
      <c r="I27" s="110"/>
      <c r="J27" s="110"/>
      <c r="K27" s="23"/>
    </row>
    <row r="28" spans="1:12" s="21" customFormat="1" ht="33.75" customHeight="1">
      <c r="A28" s="8"/>
      <c r="B28" s="26" t="s">
        <v>225</v>
      </c>
      <c r="C28" s="30" t="s">
        <v>129</v>
      </c>
      <c r="D28" s="19"/>
      <c r="E28" s="73">
        <v>134.445</v>
      </c>
      <c r="F28" s="73"/>
      <c r="G28" s="73"/>
      <c r="H28" s="111"/>
      <c r="I28" s="111"/>
      <c r="J28" s="111"/>
      <c r="K28" s="8"/>
      <c r="L28" s="120"/>
    </row>
    <row r="29" spans="1:11" s="14" customFormat="1" ht="33.75" customHeight="1">
      <c r="A29" s="11"/>
      <c r="B29" s="89" t="s">
        <v>233</v>
      </c>
      <c r="C29" s="115" t="s">
        <v>120</v>
      </c>
      <c r="D29" s="28"/>
      <c r="E29" s="99"/>
      <c r="F29" s="31"/>
      <c r="G29" s="31"/>
      <c r="H29" s="109"/>
      <c r="I29" s="109"/>
      <c r="J29" s="109"/>
      <c r="K29" s="11"/>
    </row>
    <row r="30" spans="1:11" s="14" customFormat="1" ht="33.75" customHeight="1">
      <c r="A30" s="97"/>
      <c r="B30" s="75" t="s">
        <v>235</v>
      </c>
      <c r="C30" s="115" t="s">
        <v>120</v>
      </c>
      <c r="D30" s="28"/>
      <c r="E30" s="13">
        <f>+E28/E22*100</f>
        <v>24.176450596026967</v>
      </c>
      <c r="F30" s="13"/>
      <c r="G30" s="13"/>
      <c r="H30" s="112"/>
      <c r="I30" s="112"/>
      <c r="J30" s="112"/>
      <c r="K30" s="98"/>
    </row>
    <row r="31" spans="1:11" s="25" customFormat="1" ht="33.75" customHeight="1" hidden="1">
      <c r="A31" s="76" t="s">
        <v>131</v>
      </c>
      <c r="B31" s="77" t="s">
        <v>226</v>
      </c>
      <c r="C31" s="10" t="s">
        <v>129</v>
      </c>
      <c r="D31" s="78"/>
      <c r="E31" s="70">
        <v>839.2</v>
      </c>
      <c r="F31" s="70">
        <v>974.3</v>
      </c>
      <c r="G31" s="79">
        <v>1144</v>
      </c>
      <c r="H31" s="78">
        <v>1490</v>
      </c>
      <c r="I31" s="123"/>
      <c r="J31" s="123"/>
      <c r="K31" s="63"/>
    </row>
    <row r="32" spans="1:11" s="21" customFormat="1" ht="19.5" customHeight="1">
      <c r="A32" s="36"/>
      <c r="B32" s="35"/>
      <c r="C32" s="127"/>
      <c r="D32" s="37"/>
      <c r="E32" s="80"/>
      <c r="F32" s="37"/>
      <c r="G32" s="37"/>
      <c r="H32" s="113"/>
      <c r="I32" s="113"/>
      <c r="J32" s="113"/>
      <c r="K32" s="34"/>
    </row>
    <row r="34" spans="4:10" ht="15">
      <c r="D34" s="62"/>
      <c r="H34" s="81"/>
      <c r="I34" s="81"/>
      <c r="J34" s="81"/>
    </row>
    <row r="35" spans="8:10" ht="15">
      <c r="H35" s="81"/>
      <c r="I35" s="81"/>
      <c r="J35" s="81"/>
    </row>
  </sheetData>
  <sheetProtection/>
  <mergeCells count="12">
    <mergeCell ref="A2:K2"/>
    <mergeCell ref="A4:A5"/>
    <mergeCell ref="B4:B5"/>
    <mergeCell ref="C4:C5"/>
    <mergeCell ref="D4:D5"/>
    <mergeCell ref="E4:E5"/>
    <mergeCell ref="K4:K5"/>
    <mergeCell ref="J4:J5"/>
    <mergeCell ref="F4:F5"/>
    <mergeCell ref="G4:G5"/>
    <mergeCell ref="H4:H5"/>
    <mergeCell ref="I4:I5"/>
  </mergeCells>
  <printOptions/>
  <pageMargins left="0.71" right="0.66" top="0.73" bottom="0.93" header="0.5" footer="0.5"/>
  <pageSetup horizontalDpi="600" verticalDpi="600" orientation="landscape" paperSize="9" r:id="rId3"/>
  <headerFooter alignWithMargins="0">
    <oddFooter>&amp;C&amp;P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Nguyen Phu Ha</dc:creator>
  <cp:keywords/>
  <dc:description/>
  <cp:lastModifiedBy>SaoViet</cp:lastModifiedBy>
  <cp:lastPrinted>2016-04-13T01:25:23Z</cp:lastPrinted>
  <dcterms:created xsi:type="dcterms:W3CDTF">2008-09-24T14:33:07Z</dcterms:created>
  <dcterms:modified xsi:type="dcterms:W3CDTF">2016-04-25T07:11:20Z</dcterms:modified>
  <cp:category/>
  <cp:version/>
  <cp:contentType/>
  <cp:contentStatus/>
</cp:coreProperties>
</file>